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440" activeTab="0"/>
  </bookViews>
  <sheets>
    <sheet name="Лист1" sheetId="1" r:id="rId1"/>
  </sheets>
  <definedNames>
    <definedName name="_xlnm.Print_Area" localSheetId="0">'Лист1'!$A$1:$H$157</definedName>
  </definedNames>
  <calcPr fullCalcOnLoad="1"/>
</workbook>
</file>

<file path=xl/sharedStrings.xml><?xml version="1.0" encoding="utf-8"?>
<sst xmlns="http://schemas.openxmlformats.org/spreadsheetml/2006/main" count="199" uniqueCount="151">
  <si>
    <t>Наименование</t>
  </si>
  <si>
    <t>ВР</t>
  </si>
  <si>
    <t>тыс. рублей</t>
  </si>
  <si>
    <t>Содержание и обеспечение деятельности МКУ «УПРАВЛЕНИЕ ПО ДЕЛАМ ГО И ЧС ЗАТО ШИХАНЫ"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</si>
  <si>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</si>
  <si>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</si>
  <si>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</si>
  <si>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</si>
  <si>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</si>
  <si>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</si>
  <si>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</si>
  <si>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</si>
  <si>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</si>
  <si>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</si>
  <si>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</si>
  <si>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</si>
  <si>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</si>
  <si>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</si>
  <si>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</si>
  <si>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</si>
  <si>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</si>
  <si>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</si>
  <si>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</si>
  <si>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</si>
  <si>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</si>
  <si>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</si>
  <si>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</si>
  <si>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</si>
  <si>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Исполнено</t>
  </si>
  <si>
    <t>Код целевой статьи</t>
  </si>
  <si>
    <t>Програм- мная статья</t>
  </si>
  <si>
    <t>направ-ление расходов</t>
  </si>
  <si>
    <t>00000</t>
  </si>
  <si>
    <t>02100</t>
  </si>
  <si>
    <t>02200</t>
  </si>
  <si>
    <t>03400</t>
  </si>
  <si>
    <t>20010</t>
  </si>
  <si>
    <t>77Б00</t>
  </si>
  <si>
    <t>77В00</t>
  </si>
  <si>
    <t>77Е00</t>
  </si>
  <si>
    <t>89730</t>
  </si>
  <si>
    <t>04200</t>
  </si>
  <si>
    <t xml:space="preserve">Выполнение межевых, геодезических и кадастровых работ  (земельные участки) </t>
  </si>
  <si>
    <t>S7200</t>
  </si>
  <si>
    <t>00590</t>
  </si>
  <si>
    <t>00591</t>
  </si>
  <si>
    <t>00592</t>
  </si>
  <si>
    <t>Участие в областных олимпиадах, соревнованиях и конкурсах в сфере образования</t>
  </si>
  <si>
    <t>Организация и проведение городских культурно-массовых мероприятий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</si>
  <si>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</si>
  <si>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08800</t>
  </si>
  <si>
    <t>09710</t>
  </si>
  <si>
    <t>Проведение мероприятий по отлову и содержанию безнадзорных животных</t>
  </si>
  <si>
    <t>77Д00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</si>
  <si>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</si>
  <si>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77Г00</t>
  </si>
  <si>
    <t>отклонение от плана</t>
  </si>
  <si>
    <t>сумма</t>
  </si>
  <si>
    <t>% испол- нение</t>
  </si>
  <si>
    <t>Ведомственная целевая программа "Доступная среда ЗАТО Шиханы" на 2017-2020 годы</t>
  </si>
  <si>
    <t>99990</t>
  </si>
  <si>
    <t>200</t>
  </si>
  <si>
    <t>99130</t>
  </si>
  <si>
    <t>Вывоз мусора с несанкционированных свалок</t>
  </si>
  <si>
    <t>Повышение уровня безопасности дошкольной образовательной организации</t>
  </si>
  <si>
    <t>Перевозка обучающихся при подготовке и проведении ГИА</t>
  </si>
  <si>
    <t>S1800</t>
  </si>
  <si>
    <t>Обеспечение повышения оплаты труда отдельным категориям работников бюджетной сферы</t>
  </si>
  <si>
    <t>Функционирование МКУ "Редакция газеты Шиханские новости"</t>
  </si>
  <si>
    <t xml:space="preserve">Приложение № 4 </t>
  </si>
  <si>
    <t>Развитие муниципального управления и централизация в ЗАТО Шиханы на 2018 - 2020 годы</t>
  </si>
  <si>
    <t>Текущий ремонт помещений</t>
  </si>
  <si>
    <t>Приобретение и установка системы видеонаблюдения</t>
  </si>
  <si>
    <t>Обеспечение повышения оплаты труда некоторых категорий работников муниципальных учреждений</t>
  </si>
  <si>
    <t>Социальная поддержка граждан в ЗАТО Шиханы на 2018-2020 годы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</si>
  <si>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</si>
  <si>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</si>
  <si>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Защита населения и территории ЗАТО Шиханы от чрезвычайных ситуаций природного и техногенного характера на 2018-2020 годы</t>
  </si>
  <si>
    <t>Ведомственная целевая программа "Пожарная безопасность городского округа ЗАТО Шиханы на 2018-2020 годы"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</si>
  <si>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</si>
  <si>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Развитие экономики, поддержка предпринимательства  и управление муниципальным имуществом ЗАТО Шиханы на 2018 - 2020 годы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</si>
  <si>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</si>
  <si>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</si>
  <si>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</si>
  <si>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Выявление, техническая паспортизация и принятие в казну бесхозяйных объектов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</si>
  <si>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</si>
  <si>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Ведомственная целевая программа "Повышение безопасности дорожного движения в ЗАТО Шиханы на 2018 - 2020 годы"</t>
  </si>
  <si>
    <t>Переселение граждан из ЗАТО Шиханы</t>
  </si>
  <si>
    <t>51590</t>
  </si>
  <si>
    <t>Энергосбережение и повышение энергетической эффективности на территории ЗАТО Шиханы на 2018-2020 годы</t>
  </si>
  <si>
    <t>Замена светильников уличного освещения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</si>
  <si>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</si>
  <si>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</si>
  <si>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Реализация основных общеобразовательных программ дошкольного образования</t>
  </si>
  <si>
    <t>Капитальный ремонт дошкольной образовательной организации</t>
  </si>
  <si>
    <t>S2300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</si>
  <si>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</si>
  <si>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</si>
  <si>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</si>
  <si>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</si>
  <si>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</si>
  <si>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 xml:space="preserve">Капитальный ремонт учреждений дополнительного образования </t>
  </si>
  <si>
    <t>69102</t>
  </si>
  <si>
    <t>Городские мероприятия в сфере образования</t>
  </si>
  <si>
    <t>Развитие культуры и средств массовой информации в ЗАТО Шиханы на 2018-2020 годы</t>
  </si>
  <si>
    <t>78600</t>
  </si>
  <si>
    <t xml:space="preserve">Капитальный ремонт  учреждений культуры города </t>
  </si>
  <si>
    <t>Развитие физической культуры, спорта и молодежной политики в ЗАТО Шиханы на 2018 - 2020 годы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</si>
  <si>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</si>
  <si>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</si>
  <si>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Приобретение спортивного инвентаря для приема норм ГТО</t>
  </si>
  <si>
    <t>Ремонт ограждения стадиона по улице Школьная</t>
  </si>
  <si>
    <t>Поездки в бассейн и ледовый дворец г. Вольск</t>
  </si>
  <si>
    <t>Замена оснащения городских плоскостных сооружений</t>
  </si>
  <si>
    <t>Формирование комфортной городской среды на территории ЗАТО Шиханы на 2018-2022 годы</t>
  </si>
  <si>
    <t>7Г000</t>
  </si>
  <si>
    <t>Благоустройство дворовых территорий</t>
  </si>
  <si>
    <t>7Г001</t>
  </si>
  <si>
    <t>L5550</t>
  </si>
  <si>
    <t xml:space="preserve">Благоустройство общественных территорий </t>
  </si>
  <si>
    <t>7Г002</t>
  </si>
  <si>
    <t>Исполнение судебных решений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</si>
  <si>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</si>
  <si>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</si>
  <si>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</si>
  <si>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t>План 2018 года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</si>
  <si>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</si>
  <si>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Организация конкурса "Мой дом, мой двор - 2018 г."</t>
  </si>
  <si>
    <t>Поощрение одаренных детей ЗАТО Шиханы</t>
  </si>
  <si>
    <t>Обустройство спортивных площадок</t>
  </si>
  <si>
    <t xml:space="preserve">Благоустройство пешеходной зоны по ул.Ленина </t>
  </si>
  <si>
    <t>7Г003</t>
  </si>
  <si>
    <t>S2110</t>
  </si>
  <si>
    <t>S2120</t>
  </si>
  <si>
    <t>S2130</t>
  </si>
  <si>
    <t>Всероссийский конкурс проектов создание комфортной городской среды среди малых городов</t>
  </si>
  <si>
    <t>7Г004</t>
  </si>
  <si>
    <t xml:space="preserve">Благоустройство пешеходной зоны от ул. Ленина д.8 до ул. Молодежная д.2 </t>
  </si>
  <si>
    <t>7Г005</t>
  </si>
  <si>
    <t>Закупка фонтана</t>
  </si>
  <si>
    <t>7Г006</t>
  </si>
  <si>
    <t>Подготовка и проведение экспертизы проектной сметной документации</t>
  </si>
  <si>
    <t>7Г007</t>
  </si>
  <si>
    <t>78А00</t>
  </si>
  <si>
    <t>Отчет об исполнении местного бюджета ЗАТО Шиханы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Российской Федерации за 9 месяцев 2018 года</t>
  </si>
  <si>
    <t>Приобретение дорожно-эксплуатационной техники</t>
  </si>
  <si>
    <t>D7900</t>
  </si>
  <si>
    <t>S7900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</si>
  <si>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2"/>
        <rFont val="Times New Roman"/>
        <family val="1"/>
      </rPr>
      <t>2017-2020</t>
    </r>
    <r>
      <rPr>
        <sz val="12"/>
        <color indexed="8"/>
        <rFont val="Times New Roman"/>
        <family val="1"/>
      </rPr>
      <t xml:space="preserve"> годы"</t>
    </r>
  </si>
  <si>
    <t>к постановлению администрации ЗАТО Шиханы</t>
  </si>
  <si>
    <r>
      <t xml:space="preserve">от </t>
    </r>
    <r>
      <rPr>
        <u val="single"/>
        <sz val="11"/>
        <color indexed="8"/>
        <rFont val="Calibri"/>
        <family val="2"/>
      </rPr>
      <t>30.10.2018</t>
    </r>
    <r>
      <rPr>
        <sz val="11"/>
        <color theme="1"/>
        <rFont val="Calibri"/>
        <family val="2"/>
      </rPr>
      <t xml:space="preserve"> г. № </t>
    </r>
    <r>
      <rPr>
        <u val="single"/>
        <sz val="11"/>
        <color indexed="8"/>
        <rFont val="Calibri"/>
        <family val="2"/>
      </rPr>
      <t>493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</si>
</sst>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9.5"/>
      <name val="Arial"/>
      <family val="2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172" fontId="9" fillId="0" borderId="10" xfId="0" applyNumberFormat="1" applyFont="1" applyBorder="1" applyAlignment="1">
      <alignment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172" fontId="9" fillId="34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172" fontId="46" fillId="0" borderId="10" xfId="0" applyNumberFormat="1" applyFont="1" applyFill="1" applyBorder="1" applyAlignment="1">
      <alignment vertical="center"/>
    </xf>
    <xf numFmtId="172" fontId="46" fillId="33" borderId="1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173" fontId="46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vertical="center"/>
    </xf>
    <xf numFmtId="0" fontId="12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/>
    </xf>
    <xf numFmtId="172" fontId="47" fillId="34" borderId="10" xfId="0" applyNumberFormat="1" applyFont="1" applyFill="1" applyBorder="1" applyAlignment="1">
      <alignment vertical="center"/>
    </xf>
    <xf numFmtId="49" fontId="12" fillId="34" borderId="10" xfId="0" applyNumberFormat="1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>
      <alignment vertical="center"/>
    </xf>
    <xf numFmtId="173" fontId="46" fillId="33" borderId="10" xfId="0" applyNumberFormat="1" applyFont="1" applyFill="1" applyBorder="1" applyAlignment="1">
      <alignment vertical="center" wrapText="1"/>
    </xf>
    <xf numFmtId="172" fontId="10" fillId="0" borderId="10" xfId="0" applyNumberFormat="1" applyFont="1" applyFill="1" applyBorder="1" applyAlignment="1">
      <alignment vertical="center"/>
    </xf>
    <xf numFmtId="0" fontId="47" fillId="34" borderId="11" xfId="0" applyFont="1" applyFill="1" applyBorder="1" applyAlignment="1">
      <alignment horizontal="left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72" fontId="0" fillId="0" borderId="0" xfId="0" applyNumberFormat="1" applyBorder="1" applyAlignment="1">
      <alignment horizontal="center"/>
    </xf>
    <xf numFmtId="172" fontId="4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48.8515625" style="0" customWidth="1"/>
    <col min="2" max="2" width="8.421875" style="0" customWidth="1"/>
    <col min="3" max="3" width="7.140625" style="3" customWidth="1"/>
    <col min="4" max="4" width="4.140625" style="3" customWidth="1"/>
    <col min="5" max="5" width="11.57421875" style="0" customWidth="1"/>
    <col min="6" max="6" width="9.8515625" style="0" customWidth="1"/>
    <col min="7" max="7" width="11.8515625" style="0" customWidth="1"/>
    <col min="8" max="8" width="13.00390625" style="10" customWidth="1"/>
  </cols>
  <sheetData>
    <row r="1" spans="1:8" ht="15">
      <c r="A1" s="4"/>
      <c r="B1" s="5"/>
      <c r="C1" s="84"/>
      <c r="D1" s="84"/>
      <c r="E1" s="84" t="s">
        <v>69</v>
      </c>
      <c r="F1" s="84"/>
      <c r="G1" s="84"/>
      <c r="H1" s="84"/>
    </row>
    <row r="2" spans="1:9" ht="15.75">
      <c r="A2" s="6"/>
      <c r="B2" s="5"/>
      <c r="C2" s="5"/>
      <c r="D2" s="5"/>
      <c r="E2" s="86" t="s">
        <v>149</v>
      </c>
      <c r="F2" s="86"/>
      <c r="G2" s="86"/>
      <c r="H2" s="86"/>
      <c r="I2" s="5"/>
    </row>
    <row r="3" spans="5:8" ht="15">
      <c r="E3" s="11" t="s">
        <v>150</v>
      </c>
      <c r="F3" s="11"/>
      <c r="G3" s="11"/>
      <c r="H3" s="12"/>
    </row>
    <row r="4" spans="1:8" ht="60" customHeight="1">
      <c r="A4" s="88" t="s">
        <v>144</v>
      </c>
      <c r="B4" s="88"/>
      <c r="C4" s="88"/>
      <c r="D4" s="88"/>
      <c r="E4" s="88"/>
      <c r="F4" s="88"/>
      <c r="G4" s="88"/>
      <c r="H4" s="88"/>
    </row>
    <row r="5" spans="5:8" ht="15">
      <c r="E5" s="89"/>
      <c r="F5" s="89"/>
      <c r="G5" s="89" t="s">
        <v>2</v>
      </c>
      <c r="H5" s="89"/>
    </row>
    <row r="6" spans="1:8" s="1" customFormat="1" ht="15">
      <c r="A6" s="91" t="s">
        <v>0</v>
      </c>
      <c r="B6" s="80" t="s">
        <v>29</v>
      </c>
      <c r="C6" s="80"/>
      <c r="D6" s="81" t="s">
        <v>1</v>
      </c>
      <c r="E6" s="85" t="s">
        <v>125</v>
      </c>
      <c r="F6" s="90" t="s">
        <v>28</v>
      </c>
      <c r="G6" s="87" t="s">
        <v>56</v>
      </c>
      <c r="H6" s="87"/>
    </row>
    <row r="7" spans="1:8" s="1" customFormat="1" ht="51">
      <c r="A7" s="91"/>
      <c r="B7" s="8" t="s">
        <v>30</v>
      </c>
      <c r="C7" s="8" t="s">
        <v>31</v>
      </c>
      <c r="D7" s="81"/>
      <c r="E7" s="85"/>
      <c r="F7" s="90"/>
      <c r="G7" s="7" t="s">
        <v>57</v>
      </c>
      <c r="H7" s="9" t="s">
        <v>58</v>
      </c>
    </row>
    <row r="8" spans="1:8" s="13" customFormat="1" ht="15.75">
      <c r="A8" s="14" t="s">
        <v>4</v>
      </c>
      <c r="B8" s="15"/>
      <c r="C8" s="15"/>
      <c r="D8" s="15"/>
      <c r="E8" s="16">
        <f>E36+E72+E110+E55+E123+E46+E9+E157+E23+E151+E150+E156+E70+E136+E154+E149+E152+E153+E148+E147+E155</f>
        <v>199130.4</v>
      </c>
      <c r="F8" s="16">
        <f>F36+F72+F110+F55+F123+F46+F9+F157+F23+F151+F150+F156+F70+F136+F154+F149+F152+F153+F148+F147+F155</f>
        <v>122677.4</v>
      </c>
      <c r="G8" s="52">
        <f>F8-E8</f>
        <v>-76453</v>
      </c>
      <c r="H8" s="52">
        <f>F8/E8*100-100</f>
        <v>-38.39343465387505</v>
      </c>
    </row>
    <row r="9" spans="1:8" ht="47.25">
      <c r="A9" s="17" t="s">
        <v>70</v>
      </c>
      <c r="B9" s="18">
        <v>71000</v>
      </c>
      <c r="C9" s="19" t="s">
        <v>32</v>
      </c>
      <c r="D9" s="18"/>
      <c r="E9" s="20">
        <f>SUM(E10:E22)</f>
        <v>29320.399999999998</v>
      </c>
      <c r="F9" s="20">
        <f>SUM(F10:F22)</f>
        <v>19087.9</v>
      </c>
      <c r="G9" s="20">
        <f aca="true" t="shared" si="0" ref="G9:G69">F9-E9</f>
        <v>-10232.499999999996</v>
      </c>
      <c r="H9" s="20">
        <f aca="true" t="shared" si="1" ref="H9:H69">F9/E9*100-100</f>
        <v>-34.89890997394305</v>
      </c>
    </row>
    <row r="10" spans="1:8" ht="15.75" customHeight="1">
      <c r="A10" s="69" t="s">
        <v>18</v>
      </c>
      <c r="B10" s="21">
        <v>71001</v>
      </c>
      <c r="C10" s="22" t="s">
        <v>33</v>
      </c>
      <c r="D10" s="21">
        <v>100</v>
      </c>
      <c r="E10" s="64">
        <f>1175.1+1267-97.7-22.1</f>
        <v>2322.3</v>
      </c>
      <c r="F10" s="64">
        <v>1431.6</v>
      </c>
      <c r="G10" s="36">
        <f t="shared" si="0"/>
        <v>-890.7000000000003</v>
      </c>
      <c r="H10" s="36">
        <f t="shared" si="1"/>
        <v>-38.35421780131767</v>
      </c>
    </row>
    <row r="11" spans="1:8" ht="15.75">
      <c r="A11" s="70"/>
      <c r="B11" s="21">
        <v>71001</v>
      </c>
      <c r="C11" s="22" t="s">
        <v>34</v>
      </c>
      <c r="D11" s="21">
        <v>100</v>
      </c>
      <c r="E11" s="24">
        <f>16979.7-34.6+34.6-50+86.1+97.7+22.1</f>
        <v>17135.6</v>
      </c>
      <c r="F11" s="24">
        <v>11957.7</v>
      </c>
      <c r="G11" s="36">
        <f t="shared" si="0"/>
        <v>-5177.899999999998</v>
      </c>
      <c r="H11" s="36">
        <f t="shared" si="1"/>
        <v>-30.21720861831507</v>
      </c>
    </row>
    <row r="12" spans="1:8" ht="15.75">
      <c r="A12" s="70"/>
      <c r="B12" s="21">
        <v>71001</v>
      </c>
      <c r="C12" s="22" t="s">
        <v>34</v>
      </c>
      <c r="D12" s="21">
        <v>800</v>
      </c>
      <c r="E12" s="24">
        <f>249.5+1.4</f>
        <v>250.9</v>
      </c>
      <c r="F12" s="24">
        <v>167.9</v>
      </c>
      <c r="G12" s="36">
        <f t="shared" si="0"/>
        <v>-83</v>
      </c>
      <c r="H12" s="36">
        <f t="shared" si="1"/>
        <v>-33.080908728577114</v>
      </c>
    </row>
    <row r="13" spans="1:8" ht="15.75">
      <c r="A13" s="70"/>
      <c r="B13" s="21">
        <v>71001</v>
      </c>
      <c r="C13" s="22" t="s">
        <v>34</v>
      </c>
      <c r="D13" s="21">
        <v>200</v>
      </c>
      <c r="E13" s="24">
        <f>6610.5+22.3+34.6-34.6+50+5.1+1.4+15.6</f>
        <v>6704.900000000001</v>
      </c>
      <c r="F13" s="24">
        <v>3771.7</v>
      </c>
      <c r="G13" s="36">
        <f t="shared" si="0"/>
        <v>-2933.2000000000007</v>
      </c>
      <c r="H13" s="36">
        <f t="shared" si="1"/>
        <v>-43.74711032230161</v>
      </c>
    </row>
    <row r="14" spans="1:8" ht="15.75" customHeight="1">
      <c r="A14" s="74" t="s">
        <v>19</v>
      </c>
      <c r="B14" s="21">
        <v>71002</v>
      </c>
      <c r="C14" s="21">
        <v>76500</v>
      </c>
      <c r="D14" s="21">
        <v>100</v>
      </c>
      <c r="E14" s="65">
        <f>195.8-0.8+6.3</f>
        <v>201.3</v>
      </c>
      <c r="F14" s="65">
        <v>133.4</v>
      </c>
      <c r="G14" s="36">
        <f t="shared" si="0"/>
        <v>-67.9</v>
      </c>
      <c r="H14" s="36">
        <f t="shared" si="1"/>
        <v>-33.73075012419274</v>
      </c>
    </row>
    <row r="15" spans="1:8" ht="15.75">
      <c r="A15" s="75"/>
      <c r="B15" s="21">
        <v>71002</v>
      </c>
      <c r="C15" s="21">
        <v>76500</v>
      </c>
      <c r="D15" s="21">
        <v>200</v>
      </c>
      <c r="E15" s="65">
        <v>0.8</v>
      </c>
      <c r="F15" s="65">
        <v>0</v>
      </c>
      <c r="G15" s="36">
        <f t="shared" si="0"/>
        <v>-0.8</v>
      </c>
      <c r="H15" s="36">
        <f t="shared" si="1"/>
        <v>-100</v>
      </c>
    </row>
    <row r="16" spans="1:8" ht="15.75">
      <c r="A16" s="75"/>
      <c r="B16" s="21">
        <v>71002</v>
      </c>
      <c r="C16" s="21">
        <v>51180</v>
      </c>
      <c r="D16" s="21">
        <v>100</v>
      </c>
      <c r="E16" s="65">
        <f>167.8-1.1+15.9</f>
        <v>182.60000000000002</v>
      </c>
      <c r="F16" s="65">
        <v>100.4</v>
      </c>
      <c r="G16" s="36">
        <f t="shared" si="0"/>
        <v>-82.20000000000002</v>
      </c>
      <c r="H16" s="36">
        <f t="shared" si="1"/>
        <v>-45.016429353778754</v>
      </c>
    </row>
    <row r="17" spans="1:8" ht="31.5">
      <c r="A17" s="27" t="s">
        <v>15</v>
      </c>
      <c r="B17" s="21">
        <v>71003</v>
      </c>
      <c r="C17" s="22" t="s">
        <v>35</v>
      </c>
      <c r="D17" s="21">
        <v>200</v>
      </c>
      <c r="E17" s="23">
        <v>121.4</v>
      </c>
      <c r="F17" s="23">
        <v>70.6</v>
      </c>
      <c r="G17" s="36">
        <f t="shared" si="0"/>
        <v>-50.80000000000001</v>
      </c>
      <c r="H17" s="36">
        <f t="shared" si="1"/>
        <v>-41.84514003294893</v>
      </c>
    </row>
    <row r="18" spans="1:8" ht="15.75">
      <c r="A18" s="27" t="s">
        <v>16</v>
      </c>
      <c r="B18" s="21">
        <v>71004</v>
      </c>
      <c r="C18" s="22" t="s">
        <v>36</v>
      </c>
      <c r="D18" s="21">
        <v>300</v>
      </c>
      <c r="E18" s="26">
        <f>1016.2+0.3</f>
        <v>1016.5</v>
      </c>
      <c r="F18" s="26">
        <v>762.4</v>
      </c>
      <c r="G18" s="36">
        <f t="shared" si="0"/>
        <v>-254.10000000000002</v>
      </c>
      <c r="H18" s="36">
        <f t="shared" si="1"/>
        <v>-24.99754058042302</v>
      </c>
    </row>
    <row r="19" spans="1:8" ht="15.75">
      <c r="A19" s="28" t="s">
        <v>71</v>
      </c>
      <c r="B19" s="21">
        <v>71005</v>
      </c>
      <c r="C19" s="22" t="s">
        <v>34</v>
      </c>
      <c r="D19" s="21">
        <v>200</v>
      </c>
      <c r="E19" s="23">
        <v>246.7</v>
      </c>
      <c r="F19" s="23">
        <v>57.6</v>
      </c>
      <c r="G19" s="36">
        <f t="shared" si="0"/>
        <v>-189.1</v>
      </c>
      <c r="H19" s="36">
        <f t="shared" si="1"/>
        <v>-76.6518038102959</v>
      </c>
    </row>
    <row r="20" spans="1:8" ht="31.5">
      <c r="A20" s="29" t="s">
        <v>72</v>
      </c>
      <c r="B20" s="21">
        <v>71007</v>
      </c>
      <c r="C20" s="22" t="s">
        <v>34</v>
      </c>
      <c r="D20" s="21">
        <v>200</v>
      </c>
      <c r="E20" s="23">
        <v>79.1</v>
      </c>
      <c r="F20" s="23">
        <v>79.1</v>
      </c>
      <c r="G20" s="36">
        <f t="shared" si="0"/>
        <v>0</v>
      </c>
      <c r="H20" s="36">
        <f t="shared" si="1"/>
        <v>0</v>
      </c>
    </row>
    <row r="21" spans="1:8" ht="15.75" customHeight="1">
      <c r="A21" s="74" t="s">
        <v>73</v>
      </c>
      <c r="B21" s="21">
        <v>71008</v>
      </c>
      <c r="C21" s="30">
        <v>72300</v>
      </c>
      <c r="D21" s="57">
        <v>100</v>
      </c>
      <c r="E21" s="23">
        <f>554.1+156.6+347.6-48.1</f>
        <v>1010.2000000000002</v>
      </c>
      <c r="F21" s="23">
        <v>544.9</v>
      </c>
      <c r="G21" s="36">
        <f t="shared" si="0"/>
        <v>-465.3000000000002</v>
      </c>
      <c r="H21" s="36">
        <f t="shared" si="1"/>
        <v>-46.060186101762035</v>
      </c>
    </row>
    <row r="22" spans="1:8" ht="15.75" customHeight="1">
      <c r="A22" s="76"/>
      <c r="B22" s="21">
        <v>71008</v>
      </c>
      <c r="C22" s="30" t="s">
        <v>95</v>
      </c>
      <c r="D22" s="57">
        <v>100</v>
      </c>
      <c r="E22" s="23">
        <v>48.1</v>
      </c>
      <c r="F22" s="23">
        <v>10.6</v>
      </c>
      <c r="G22" s="36">
        <f t="shared" si="0"/>
        <v>-37.5</v>
      </c>
      <c r="H22" s="36">
        <f t="shared" si="1"/>
        <v>-77.96257796257797</v>
      </c>
    </row>
    <row r="23" spans="1:8" ht="31.5">
      <c r="A23" s="17" t="s">
        <v>74</v>
      </c>
      <c r="B23" s="18">
        <v>72000</v>
      </c>
      <c r="C23" s="19" t="s">
        <v>32</v>
      </c>
      <c r="D23" s="18"/>
      <c r="E23" s="20">
        <f>SUM(E24:E35)</f>
        <v>3370.6000000000004</v>
      </c>
      <c r="F23" s="20">
        <f>SUM(F24:F35)</f>
        <v>1864.9999999999998</v>
      </c>
      <c r="G23" s="20">
        <f t="shared" si="0"/>
        <v>-1505.6000000000006</v>
      </c>
      <c r="H23" s="20">
        <f t="shared" si="1"/>
        <v>-44.66860499614314</v>
      </c>
    </row>
    <row r="24" spans="1:8" ht="15.75" customHeight="1">
      <c r="A24" s="82" t="s">
        <v>59</v>
      </c>
      <c r="B24" s="21">
        <v>72001</v>
      </c>
      <c r="C24" s="21">
        <v>99990</v>
      </c>
      <c r="D24" s="21">
        <v>600</v>
      </c>
      <c r="E24" s="66">
        <v>2.5</v>
      </c>
      <c r="F24" s="66">
        <v>0</v>
      </c>
      <c r="G24" s="36">
        <f t="shared" si="0"/>
        <v>-2.5</v>
      </c>
      <c r="H24" s="36">
        <f t="shared" si="1"/>
        <v>-100</v>
      </c>
    </row>
    <row r="25" spans="1:8" ht="15.75" customHeight="1">
      <c r="A25" s="83"/>
      <c r="B25" s="21">
        <v>72001</v>
      </c>
      <c r="C25" s="21">
        <v>99990</v>
      </c>
      <c r="D25" s="21">
        <v>200</v>
      </c>
      <c r="E25" s="66">
        <v>17</v>
      </c>
      <c r="F25" s="66">
        <v>0</v>
      </c>
      <c r="G25" s="36">
        <f t="shared" si="0"/>
        <v>-17</v>
      </c>
      <c r="H25" s="36">
        <f t="shared" si="1"/>
        <v>-100</v>
      </c>
    </row>
    <row r="26" spans="1:8" ht="15.75" customHeight="1">
      <c r="A26" s="74" t="s">
        <v>21</v>
      </c>
      <c r="B26" s="21">
        <v>72002</v>
      </c>
      <c r="C26" s="21" t="s">
        <v>37</v>
      </c>
      <c r="D26" s="21">
        <v>100</v>
      </c>
      <c r="E26" s="31">
        <f>197.6+6.3</f>
        <v>203.9</v>
      </c>
      <c r="F26" s="31">
        <v>128.9</v>
      </c>
      <c r="G26" s="36">
        <f t="shared" si="0"/>
        <v>-75</v>
      </c>
      <c r="H26" s="36">
        <f t="shared" si="1"/>
        <v>-36.78273663560569</v>
      </c>
    </row>
    <row r="27" spans="1:8" ht="15.75" customHeight="1">
      <c r="A27" s="75"/>
      <c r="B27" s="21">
        <v>72002</v>
      </c>
      <c r="C27" s="21" t="s">
        <v>38</v>
      </c>
      <c r="D27" s="21">
        <v>200</v>
      </c>
      <c r="E27" s="23">
        <v>37.8</v>
      </c>
      <c r="F27" s="23">
        <v>23.9</v>
      </c>
      <c r="G27" s="36">
        <f t="shared" si="0"/>
        <v>-13.899999999999999</v>
      </c>
      <c r="H27" s="36">
        <f t="shared" si="1"/>
        <v>-36.772486772486765</v>
      </c>
    </row>
    <row r="28" spans="1:8" ht="15.75">
      <c r="A28" s="76"/>
      <c r="B28" s="21">
        <v>72002</v>
      </c>
      <c r="C28" s="21" t="s">
        <v>38</v>
      </c>
      <c r="D28" s="21">
        <v>300</v>
      </c>
      <c r="E28" s="23">
        <f>2132.9-37.8</f>
        <v>2095.1</v>
      </c>
      <c r="F28" s="23">
        <v>1066.3</v>
      </c>
      <c r="G28" s="36">
        <f t="shared" si="0"/>
        <v>-1028.8</v>
      </c>
      <c r="H28" s="36">
        <f t="shared" si="1"/>
        <v>-49.1050546513293</v>
      </c>
    </row>
    <row r="29" spans="1:8" ht="15.75" customHeight="1">
      <c r="A29" s="74" t="s">
        <v>75</v>
      </c>
      <c r="B29" s="21">
        <v>72003</v>
      </c>
      <c r="C29" s="32">
        <v>76600</v>
      </c>
      <c r="D29" s="21">
        <v>100</v>
      </c>
      <c r="E29" s="26">
        <f>202+6.3</f>
        <v>208.3</v>
      </c>
      <c r="F29" s="26">
        <v>130</v>
      </c>
      <c r="G29" s="36">
        <f t="shared" si="0"/>
        <v>-78.30000000000001</v>
      </c>
      <c r="H29" s="36">
        <f t="shared" si="1"/>
        <v>-37.59001440230437</v>
      </c>
    </row>
    <row r="30" spans="1:8" ht="15.75" customHeight="1">
      <c r="A30" s="76"/>
      <c r="B30" s="21">
        <v>72003</v>
      </c>
      <c r="C30" s="32">
        <v>76600</v>
      </c>
      <c r="D30" s="21">
        <v>200</v>
      </c>
      <c r="E30" s="31">
        <v>2.4</v>
      </c>
      <c r="F30" s="31">
        <v>0</v>
      </c>
      <c r="G30" s="36">
        <f t="shared" si="0"/>
        <v>-2.4</v>
      </c>
      <c r="H30" s="36">
        <f t="shared" si="1"/>
        <v>-100</v>
      </c>
    </row>
    <row r="31" spans="1:8" ht="15.75" customHeight="1">
      <c r="A31" s="74" t="s">
        <v>22</v>
      </c>
      <c r="B31" s="21">
        <v>72004</v>
      </c>
      <c r="C31" s="21">
        <v>76400</v>
      </c>
      <c r="D31" s="21">
        <v>100</v>
      </c>
      <c r="E31" s="31">
        <f>207.3+6.3</f>
        <v>213.60000000000002</v>
      </c>
      <c r="F31" s="31">
        <v>132.5</v>
      </c>
      <c r="G31" s="36">
        <f t="shared" si="0"/>
        <v>-81.10000000000002</v>
      </c>
      <c r="H31" s="36">
        <f t="shared" si="1"/>
        <v>-37.9681647940075</v>
      </c>
    </row>
    <row r="32" spans="1:8" ht="15.75" customHeight="1">
      <c r="A32" s="75"/>
      <c r="B32" s="21">
        <v>72004</v>
      </c>
      <c r="C32" s="21">
        <v>76400</v>
      </c>
      <c r="D32" s="21">
        <v>200</v>
      </c>
      <c r="E32" s="31">
        <v>0.3</v>
      </c>
      <c r="F32" s="31">
        <v>0</v>
      </c>
      <c r="G32" s="36">
        <f t="shared" si="0"/>
        <v>-0.3</v>
      </c>
      <c r="H32" s="36">
        <f t="shared" si="1"/>
        <v>-100</v>
      </c>
    </row>
    <row r="33" spans="1:8" ht="15.75">
      <c r="A33" s="75"/>
      <c r="B33" s="21">
        <v>72004</v>
      </c>
      <c r="C33" s="21" t="s">
        <v>39</v>
      </c>
      <c r="D33" s="21">
        <v>100</v>
      </c>
      <c r="E33" s="31">
        <f>185.5+6.3</f>
        <v>191.8</v>
      </c>
      <c r="F33" s="31">
        <v>131.3</v>
      </c>
      <c r="G33" s="36">
        <f t="shared" si="0"/>
        <v>-60.5</v>
      </c>
      <c r="H33" s="36">
        <f t="shared" si="1"/>
        <v>-31.543274244004166</v>
      </c>
    </row>
    <row r="34" spans="1:8" ht="47.25">
      <c r="A34" s="25" t="s">
        <v>20</v>
      </c>
      <c r="B34" s="21">
        <v>72005</v>
      </c>
      <c r="C34" s="21">
        <v>76300</v>
      </c>
      <c r="D34" s="21">
        <v>100</v>
      </c>
      <c r="E34" s="26">
        <f>195.5+6.3</f>
        <v>201.8</v>
      </c>
      <c r="F34" s="26">
        <v>131</v>
      </c>
      <c r="G34" s="36">
        <f t="shared" si="0"/>
        <v>-70.80000000000001</v>
      </c>
      <c r="H34" s="36">
        <f t="shared" si="1"/>
        <v>-35.08424182358772</v>
      </c>
    </row>
    <row r="35" spans="1:8" ht="78.75">
      <c r="A35" s="33" t="s">
        <v>76</v>
      </c>
      <c r="B35" s="57">
        <v>72006</v>
      </c>
      <c r="C35" s="58" t="s">
        <v>40</v>
      </c>
      <c r="D35" s="21">
        <v>800</v>
      </c>
      <c r="E35" s="26">
        <v>196.1</v>
      </c>
      <c r="F35" s="26">
        <v>121.1</v>
      </c>
      <c r="G35" s="36">
        <f t="shared" si="0"/>
        <v>-75</v>
      </c>
      <c r="H35" s="36">
        <f t="shared" si="1"/>
        <v>-38.2457929627741</v>
      </c>
    </row>
    <row r="36" spans="1:8" ht="63">
      <c r="A36" s="17" t="s">
        <v>77</v>
      </c>
      <c r="B36" s="18">
        <v>73000</v>
      </c>
      <c r="C36" s="19" t="s">
        <v>32</v>
      </c>
      <c r="D36" s="18"/>
      <c r="E36" s="20">
        <f>SUM(E37:E45)</f>
        <v>8001.3</v>
      </c>
      <c r="F36" s="20">
        <f>SUM(F37:F45)</f>
        <v>4744.6</v>
      </c>
      <c r="G36" s="20">
        <f t="shared" si="0"/>
        <v>-3256.7</v>
      </c>
      <c r="H36" s="20">
        <f t="shared" si="1"/>
        <v>-40.70213590291577</v>
      </c>
    </row>
    <row r="37" spans="1:8" ht="47.25">
      <c r="A37" s="54" t="s">
        <v>78</v>
      </c>
      <c r="B37" s="21">
        <v>73001</v>
      </c>
      <c r="C37" s="58" t="s">
        <v>60</v>
      </c>
      <c r="D37" s="34" t="s">
        <v>61</v>
      </c>
      <c r="E37" s="66">
        <v>361.1</v>
      </c>
      <c r="F37" s="66">
        <v>0</v>
      </c>
      <c r="G37" s="36">
        <f t="shared" si="0"/>
        <v>-361.1</v>
      </c>
      <c r="H37" s="36">
        <f t="shared" si="1"/>
        <v>-100</v>
      </c>
    </row>
    <row r="38" spans="1:8" ht="78.75">
      <c r="A38" s="35" t="s">
        <v>79</v>
      </c>
      <c r="B38" s="21">
        <v>73002</v>
      </c>
      <c r="C38" s="58" t="s">
        <v>60</v>
      </c>
      <c r="D38" s="34" t="s">
        <v>61</v>
      </c>
      <c r="E38" s="66">
        <f>42.6+19</f>
        <v>61.6</v>
      </c>
      <c r="F38" s="66">
        <v>42</v>
      </c>
      <c r="G38" s="36">
        <f t="shared" si="0"/>
        <v>-19.6</v>
      </c>
      <c r="H38" s="36">
        <f t="shared" si="1"/>
        <v>-31.818181818181827</v>
      </c>
    </row>
    <row r="39" spans="1:8" ht="15.75" customHeight="1">
      <c r="A39" s="69" t="s">
        <v>3</v>
      </c>
      <c r="B39" s="21">
        <v>73005</v>
      </c>
      <c r="C39" s="22" t="s">
        <v>41</v>
      </c>
      <c r="D39" s="21">
        <v>100</v>
      </c>
      <c r="E39" s="24">
        <f>6390.5-178.4-53.8-19-20</f>
        <v>6119.3</v>
      </c>
      <c r="F39" s="24">
        <v>3778.7</v>
      </c>
      <c r="G39" s="36">
        <f t="shared" si="0"/>
        <v>-2340.6000000000004</v>
      </c>
      <c r="H39" s="36">
        <f t="shared" si="1"/>
        <v>-38.24947297893551</v>
      </c>
    </row>
    <row r="40" spans="1:8" ht="15.75">
      <c r="A40" s="70"/>
      <c r="B40" s="21">
        <v>73005</v>
      </c>
      <c r="C40" s="22" t="s">
        <v>41</v>
      </c>
      <c r="D40" s="21">
        <v>200</v>
      </c>
      <c r="E40" s="24">
        <f>920.8+15.8+20</f>
        <v>956.5999999999999</v>
      </c>
      <c r="F40" s="24">
        <v>610.8</v>
      </c>
      <c r="G40" s="36">
        <f t="shared" si="0"/>
        <v>-345.79999999999995</v>
      </c>
      <c r="H40" s="36">
        <f t="shared" si="1"/>
        <v>-36.14886054777337</v>
      </c>
    </row>
    <row r="41" spans="1:8" ht="15.75" customHeight="1">
      <c r="A41" s="70"/>
      <c r="B41" s="21">
        <v>73005</v>
      </c>
      <c r="C41" s="22" t="s">
        <v>41</v>
      </c>
      <c r="D41" s="21">
        <v>300</v>
      </c>
      <c r="E41" s="23">
        <v>178.4</v>
      </c>
      <c r="F41" s="23">
        <v>171.7</v>
      </c>
      <c r="G41" s="36">
        <f t="shared" si="0"/>
        <v>-6.700000000000017</v>
      </c>
      <c r="H41" s="36">
        <f t="shared" si="1"/>
        <v>-3.755605381165921</v>
      </c>
    </row>
    <row r="42" spans="1:8" ht="15.75">
      <c r="A42" s="71"/>
      <c r="B42" s="21">
        <v>73005</v>
      </c>
      <c r="C42" s="22" t="s">
        <v>41</v>
      </c>
      <c r="D42" s="21">
        <v>800</v>
      </c>
      <c r="E42" s="23">
        <v>24.2</v>
      </c>
      <c r="F42" s="23">
        <v>4.8</v>
      </c>
      <c r="G42" s="36">
        <f t="shared" si="0"/>
        <v>-19.4</v>
      </c>
      <c r="H42" s="36">
        <f t="shared" si="1"/>
        <v>-80.16528925619835</v>
      </c>
    </row>
    <row r="43" spans="1:8" ht="15.75" customHeight="1">
      <c r="A43" s="69" t="s">
        <v>26</v>
      </c>
      <c r="B43" s="21">
        <v>73006</v>
      </c>
      <c r="C43" s="21">
        <v>99010</v>
      </c>
      <c r="D43" s="21">
        <v>800</v>
      </c>
      <c r="E43" s="23">
        <v>1</v>
      </c>
      <c r="F43" s="23">
        <v>0</v>
      </c>
      <c r="G43" s="36">
        <f t="shared" si="0"/>
        <v>-1</v>
      </c>
      <c r="H43" s="36">
        <f t="shared" si="1"/>
        <v>-100</v>
      </c>
    </row>
    <row r="44" spans="1:8" ht="15.75">
      <c r="A44" s="71"/>
      <c r="B44" s="21">
        <v>73006</v>
      </c>
      <c r="C44" s="21">
        <v>99010</v>
      </c>
      <c r="D44" s="21">
        <v>200</v>
      </c>
      <c r="E44" s="23">
        <v>27.1</v>
      </c>
      <c r="F44" s="23">
        <v>0</v>
      </c>
      <c r="G44" s="36">
        <f t="shared" si="0"/>
        <v>-27.1</v>
      </c>
      <c r="H44" s="36">
        <f t="shared" si="1"/>
        <v>-100</v>
      </c>
    </row>
    <row r="45" spans="1:8" ht="15.75" customHeight="1">
      <c r="A45" s="29" t="s">
        <v>73</v>
      </c>
      <c r="B45" s="21">
        <v>73007</v>
      </c>
      <c r="C45" s="30">
        <v>72300</v>
      </c>
      <c r="D45" s="57">
        <v>100</v>
      </c>
      <c r="E45" s="23">
        <f>210.2+3.4+58.4</f>
        <v>272</v>
      </c>
      <c r="F45" s="23">
        <v>136.6</v>
      </c>
      <c r="G45" s="36">
        <f t="shared" si="0"/>
        <v>-135.4</v>
      </c>
      <c r="H45" s="36">
        <f t="shared" si="1"/>
        <v>-49.779411764705884</v>
      </c>
    </row>
    <row r="46" spans="1:8" ht="63">
      <c r="A46" s="17" t="s">
        <v>80</v>
      </c>
      <c r="B46" s="18">
        <v>74000</v>
      </c>
      <c r="C46" s="19" t="s">
        <v>32</v>
      </c>
      <c r="D46" s="18"/>
      <c r="E46" s="20">
        <f>SUM(E47:E54)</f>
        <v>1906.3999999999999</v>
      </c>
      <c r="F46" s="20">
        <f>SUM(F47:F54)</f>
        <v>1100.7</v>
      </c>
      <c r="G46" s="20">
        <f t="shared" si="0"/>
        <v>-805.6999999999998</v>
      </c>
      <c r="H46" s="20">
        <f t="shared" si="1"/>
        <v>-42.26290390264372</v>
      </c>
    </row>
    <row r="47" spans="1:8" ht="15.75" customHeight="1">
      <c r="A47" s="69" t="s">
        <v>81</v>
      </c>
      <c r="B47" s="21">
        <v>74002</v>
      </c>
      <c r="C47" s="21">
        <v>99050</v>
      </c>
      <c r="D47" s="21">
        <v>200</v>
      </c>
      <c r="E47" s="23">
        <v>32</v>
      </c>
      <c r="F47" s="23">
        <v>4</v>
      </c>
      <c r="G47" s="36">
        <f t="shared" si="0"/>
        <v>-28</v>
      </c>
      <c r="H47" s="36">
        <f t="shared" si="1"/>
        <v>-87.5</v>
      </c>
    </row>
    <row r="48" spans="1:8" ht="15.75">
      <c r="A48" s="71"/>
      <c r="B48" s="21">
        <v>74002</v>
      </c>
      <c r="C48" s="21">
        <v>99050</v>
      </c>
      <c r="D48" s="21">
        <v>800</v>
      </c>
      <c r="E48" s="23">
        <v>32.2</v>
      </c>
      <c r="F48" s="23">
        <v>15.6</v>
      </c>
      <c r="G48" s="36">
        <f t="shared" si="0"/>
        <v>-16.6</v>
      </c>
      <c r="H48" s="36">
        <f t="shared" si="1"/>
        <v>-51.5527950310559</v>
      </c>
    </row>
    <row r="49" spans="1:8" ht="31.5">
      <c r="A49" s="55" t="s">
        <v>82</v>
      </c>
      <c r="B49" s="21">
        <v>74003</v>
      </c>
      <c r="C49" s="21">
        <v>99050</v>
      </c>
      <c r="D49" s="21">
        <v>200</v>
      </c>
      <c r="E49" s="23">
        <v>300</v>
      </c>
      <c r="F49" s="23">
        <v>0</v>
      </c>
      <c r="G49" s="36">
        <f t="shared" si="0"/>
        <v>-300</v>
      </c>
      <c r="H49" s="36">
        <f t="shared" si="1"/>
        <v>-100</v>
      </c>
    </row>
    <row r="50" spans="1:8" s="2" customFormat="1" ht="15.75" customHeight="1">
      <c r="A50" s="59" t="s">
        <v>126</v>
      </c>
      <c r="B50" s="21">
        <v>74004</v>
      </c>
      <c r="C50" s="21">
        <v>99280</v>
      </c>
      <c r="D50" s="21">
        <v>200</v>
      </c>
      <c r="E50" s="23">
        <f>430</f>
        <v>430</v>
      </c>
      <c r="F50" s="23">
        <v>335.1</v>
      </c>
      <c r="G50" s="36">
        <f t="shared" si="0"/>
        <v>-94.89999999999998</v>
      </c>
      <c r="H50" s="36">
        <f t="shared" si="1"/>
        <v>-22.06976744186045</v>
      </c>
    </row>
    <row r="51" spans="1:8" ht="63">
      <c r="A51" s="35" t="s">
        <v>14</v>
      </c>
      <c r="B51" s="21">
        <v>74005</v>
      </c>
      <c r="C51" s="21">
        <v>99080</v>
      </c>
      <c r="D51" s="21">
        <v>200</v>
      </c>
      <c r="E51" s="23">
        <v>608.4</v>
      </c>
      <c r="F51" s="23">
        <v>396.4</v>
      </c>
      <c r="G51" s="36">
        <f t="shared" si="0"/>
        <v>-212</v>
      </c>
      <c r="H51" s="36">
        <f t="shared" si="1"/>
        <v>-34.84549638395792</v>
      </c>
    </row>
    <row r="52" spans="1:8" ht="63">
      <c r="A52" s="35" t="s">
        <v>83</v>
      </c>
      <c r="B52" s="21">
        <v>74006</v>
      </c>
      <c r="C52" s="21">
        <v>99090</v>
      </c>
      <c r="D52" s="21">
        <v>200</v>
      </c>
      <c r="E52" s="23">
        <f>276+28.8+64</f>
        <v>368.8</v>
      </c>
      <c r="F52" s="23">
        <v>319.6</v>
      </c>
      <c r="G52" s="36">
        <f t="shared" si="0"/>
        <v>-49.19999999999999</v>
      </c>
      <c r="H52" s="36">
        <f t="shared" si="1"/>
        <v>-13.340563991323208</v>
      </c>
    </row>
    <row r="53" spans="1:8" ht="31.5">
      <c r="A53" s="35" t="s">
        <v>42</v>
      </c>
      <c r="B53" s="21">
        <v>74007</v>
      </c>
      <c r="C53" s="21">
        <v>99100</v>
      </c>
      <c r="D53" s="21">
        <v>200</v>
      </c>
      <c r="E53" s="23">
        <v>105</v>
      </c>
      <c r="F53" s="23">
        <v>30</v>
      </c>
      <c r="G53" s="36">
        <f t="shared" si="0"/>
        <v>-75</v>
      </c>
      <c r="H53" s="36">
        <f t="shared" si="1"/>
        <v>-71.42857142857143</v>
      </c>
    </row>
    <row r="54" spans="1:8" ht="31.5">
      <c r="A54" s="33" t="s">
        <v>84</v>
      </c>
      <c r="B54" s="21">
        <v>74011</v>
      </c>
      <c r="C54" s="21">
        <v>99090</v>
      </c>
      <c r="D54" s="21">
        <v>200</v>
      </c>
      <c r="E54" s="23">
        <v>30</v>
      </c>
      <c r="F54" s="23">
        <v>0</v>
      </c>
      <c r="G54" s="36">
        <f t="shared" si="0"/>
        <v>-30</v>
      </c>
      <c r="H54" s="36">
        <f t="shared" si="1"/>
        <v>-100</v>
      </c>
    </row>
    <row r="55" spans="1:8" ht="63">
      <c r="A55" s="17" t="s">
        <v>85</v>
      </c>
      <c r="B55" s="18">
        <v>75000</v>
      </c>
      <c r="C55" s="19" t="s">
        <v>32</v>
      </c>
      <c r="D55" s="18"/>
      <c r="E55" s="20">
        <f>SUM(E56:E69)</f>
        <v>12598.099999999999</v>
      </c>
      <c r="F55" s="20">
        <f>SUM(F56:F69)</f>
        <v>8152.7</v>
      </c>
      <c r="G55" s="20">
        <f t="shared" si="0"/>
        <v>-4445.399999999999</v>
      </c>
      <c r="H55" s="20">
        <f t="shared" si="1"/>
        <v>-35.28627332693026</v>
      </c>
    </row>
    <row r="56" spans="1:8" ht="15.75" customHeight="1">
      <c r="A56" s="69" t="s">
        <v>86</v>
      </c>
      <c r="B56" s="21">
        <v>75001</v>
      </c>
      <c r="C56" s="30" t="s">
        <v>43</v>
      </c>
      <c r="D56" s="21">
        <v>200</v>
      </c>
      <c r="E56" s="24">
        <f>2455.4+722.3-647.4-49.5</f>
        <v>2480.7999999999997</v>
      </c>
      <c r="F56" s="24">
        <v>2480.8</v>
      </c>
      <c r="G56" s="36">
        <f t="shared" si="0"/>
        <v>0</v>
      </c>
      <c r="H56" s="36">
        <f t="shared" si="1"/>
        <v>0</v>
      </c>
    </row>
    <row r="57" spans="1:8" s="2" customFormat="1" ht="15.75">
      <c r="A57" s="70"/>
      <c r="B57" s="21">
        <v>75001</v>
      </c>
      <c r="C57" s="30" t="s">
        <v>43</v>
      </c>
      <c r="D57" s="21">
        <v>800</v>
      </c>
      <c r="E57" s="24">
        <f>3369.8-909.7+647.4-100.5</f>
        <v>3007.0000000000005</v>
      </c>
      <c r="F57" s="24">
        <v>2001.8</v>
      </c>
      <c r="G57" s="36">
        <f t="shared" si="0"/>
        <v>-1005.2000000000005</v>
      </c>
      <c r="H57" s="36">
        <f t="shared" si="1"/>
        <v>-33.42866644496176</v>
      </c>
    </row>
    <row r="58" spans="1:8" ht="15.75">
      <c r="A58" s="35" t="s">
        <v>87</v>
      </c>
      <c r="B58" s="21">
        <v>75003</v>
      </c>
      <c r="C58" s="58" t="s">
        <v>88</v>
      </c>
      <c r="D58" s="57">
        <v>300</v>
      </c>
      <c r="E58" s="24">
        <v>18.4</v>
      </c>
      <c r="F58" s="24">
        <v>0</v>
      </c>
      <c r="G58" s="36">
        <f t="shared" si="0"/>
        <v>-18.4</v>
      </c>
      <c r="H58" s="36">
        <f t="shared" si="1"/>
        <v>-100</v>
      </c>
    </row>
    <row r="59" spans="1:8" ht="15.75" customHeight="1">
      <c r="A59" s="35" t="s">
        <v>9</v>
      </c>
      <c r="B59" s="21">
        <v>75004</v>
      </c>
      <c r="C59" s="21">
        <v>99110</v>
      </c>
      <c r="D59" s="21">
        <v>800</v>
      </c>
      <c r="E59" s="24">
        <f>2077+100+150</f>
        <v>2327</v>
      </c>
      <c r="F59" s="24">
        <v>1657.8</v>
      </c>
      <c r="G59" s="36">
        <f t="shared" si="0"/>
        <v>-669.2</v>
      </c>
      <c r="H59" s="36">
        <f t="shared" si="1"/>
        <v>-28.758057584873228</v>
      </c>
    </row>
    <row r="60" spans="1:8" ht="15.75" customHeight="1">
      <c r="A60" s="69" t="s">
        <v>10</v>
      </c>
      <c r="B60" s="21">
        <v>75005</v>
      </c>
      <c r="C60" s="22" t="s">
        <v>41</v>
      </c>
      <c r="D60" s="21">
        <v>100</v>
      </c>
      <c r="E60" s="24">
        <f>1724.6-4-65.4</f>
        <v>1655.1999999999998</v>
      </c>
      <c r="F60" s="24">
        <v>1092.6</v>
      </c>
      <c r="G60" s="36">
        <f t="shared" si="0"/>
        <v>-562.5999999999999</v>
      </c>
      <c r="H60" s="36">
        <f t="shared" si="1"/>
        <v>-33.989850169163844</v>
      </c>
    </row>
    <row r="61" spans="1:8" ht="15.75">
      <c r="A61" s="70"/>
      <c r="B61" s="21">
        <v>75005</v>
      </c>
      <c r="C61" s="22" t="s">
        <v>41</v>
      </c>
      <c r="D61" s="21">
        <v>200</v>
      </c>
      <c r="E61" s="24">
        <f>4+7</f>
        <v>11</v>
      </c>
      <c r="F61" s="24">
        <v>7</v>
      </c>
      <c r="G61" s="36">
        <f t="shared" si="0"/>
        <v>-4</v>
      </c>
      <c r="H61" s="36">
        <f t="shared" si="1"/>
        <v>-36.36363636363637</v>
      </c>
    </row>
    <row r="62" spans="1:8" ht="15.75">
      <c r="A62" s="71"/>
      <c r="B62" s="21">
        <v>75005</v>
      </c>
      <c r="C62" s="22" t="s">
        <v>41</v>
      </c>
      <c r="D62" s="21">
        <v>800</v>
      </c>
      <c r="E62" s="24">
        <f>65.4-7+48</f>
        <v>106.4</v>
      </c>
      <c r="F62" s="24">
        <v>45</v>
      </c>
      <c r="G62" s="36">
        <f t="shared" si="0"/>
        <v>-61.400000000000006</v>
      </c>
      <c r="H62" s="36">
        <f t="shared" si="1"/>
        <v>-57.70676691729324</v>
      </c>
    </row>
    <row r="63" spans="1:8" ht="15.75">
      <c r="A63" s="69" t="s">
        <v>11</v>
      </c>
      <c r="B63" s="21">
        <v>75006</v>
      </c>
      <c r="C63" s="21">
        <v>99130</v>
      </c>
      <c r="D63" s="21">
        <v>200</v>
      </c>
      <c r="E63" s="23">
        <v>829.5</v>
      </c>
      <c r="F63" s="23">
        <v>442.1</v>
      </c>
      <c r="G63" s="36">
        <f t="shared" si="0"/>
        <v>-387.4</v>
      </c>
      <c r="H63" s="36">
        <f t="shared" si="1"/>
        <v>-46.70283303194695</v>
      </c>
    </row>
    <row r="64" spans="1:8" ht="15.75" customHeight="1">
      <c r="A64" s="71"/>
      <c r="B64" s="21">
        <v>75006</v>
      </c>
      <c r="C64" s="21">
        <v>99130</v>
      </c>
      <c r="D64" s="21">
        <v>800</v>
      </c>
      <c r="E64" s="23">
        <v>120</v>
      </c>
      <c r="F64" s="23">
        <v>90</v>
      </c>
      <c r="G64" s="36">
        <f t="shared" si="0"/>
        <v>-30</v>
      </c>
      <c r="H64" s="36">
        <f t="shared" si="1"/>
        <v>-25</v>
      </c>
    </row>
    <row r="65" spans="1:8" ht="15.75">
      <c r="A65" s="35" t="s">
        <v>63</v>
      </c>
      <c r="B65" s="21">
        <v>75007</v>
      </c>
      <c r="C65" s="21">
        <v>99110</v>
      </c>
      <c r="D65" s="57">
        <v>800</v>
      </c>
      <c r="E65" s="23">
        <v>300.9</v>
      </c>
      <c r="F65" s="23">
        <v>300.9</v>
      </c>
      <c r="G65" s="36">
        <f t="shared" si="0"/>
        <v>0</v>
      </c>
      <c r="H65" s="36">
        <f t="shared" si="1"/>
        <v>0</v>
      </c>
    </row>
    <row r="66" spans="1:8" s="2" customFormat="1" ht="47.25">
      <c r="A66" s="29" t="s">
        <v>73</v>
      </c>
      <c r="B66" s="21">
        <v>75008</v>
      </c>
      <c r="C66" s="30">
        <v>72300</v>
      </c>
      <c r="D66" s="57">
        <v>100</v>
      </c>
      <c r="E66" s="23">
        <v>61.9</v>
      </c>
      <c r="F66" s="23">
        <v>34.7</v>
      </c>
      <c r="G66" s="36">
        <f t="shared" si="0"/>
        <v>-27.199999999999996</v>
      </c>
      <c r="H66" s="36">
        <f t="shared" si="1"/>
        <v>-43.94184168012924</v>
      </c>
    </row>
    <row r="67" spans="1:8" ht="31.5">
      <c r="A67" s="29" t="s">
        <v>127</v>
      </c>
      <c r="B67" s="21">
        <v>75009</v>
      </c>
      <c r="C67" s="21">
        <v>99110</v>
      </c>
      <c r="D67" s="57">
        <v>200</v>
      </c>
      <c r="E67" s="23">
        <v>30</v>
      </c>
      <c r="F67" s="23">
        <v>0</v>
      </c>
      <c r="G67" s="66">
        <f t="shared" si="0"/>
        <v>-30</v>
      </c>
      <c r="H67" s="66">
        <f t="shared" si="1"/>
        <v>-100</v>
      </c>
    </row>
    <row r="68" spans="1:8" ht="15.75" customHeight="1">
      <c r="A68" s="72" t="s">
        <v>145</v>
      </c>
      <c r="B68" s="44">
        <v>75010</v>
      </c>
      <c r="C68" s="44" t="s">
        <v>146</v>
      </c>
      <c r="D68" s="60">
        <v>200</v>
      </c>
      <c r="E68" s="24">
        <v>1500</v>
      </c>
      <c r="F68" s="24">
        <v>0</v>
      </c>
      <c r="G68" s="36">
        <f t="shared" si="0"/>
        <v>-1500</v>
      </c>
      <c r="H68" s="36">
        <f t="shared" si="1"/>
        <v>-100</v>
      </c>
    </row>
    <row r="69" spans="1:8" ht="15.75">
      <c r="A69" s="73"/>
      <c r="B69" s="44">
        <v>75010</v>
      </c>
      <c r="C69" s="44" t="s">
        <v>147</v>
      </c>
      <c r="D69" s="60">
        <v>200</v>
      </c>
      <c r="E69" s="24">
        <v>150</v>
      </c>
      <c r="F69" s="24">
        <v>0</v>
      </c>
      <c r="G69" s="66">
        <f t="shared" si="0"/>
        <v>-150</v>
      </c>
      <c r="H69" s="66">
        <f t="shared" si="1"/>
        <v>-100</v>
      </c>
    </row>
    <row r="70" spans="1:8" ht="63">
      <c r="A70" s="37" t="s">
        <v>89</v>
      </c>
      <c r="B70" s="18">
        <v>76000</v>
      </c>
      <c r="C70" s="19" t="s">
        <v>32</v>
      </c>
      <c r="D70" s="18"/>
      <c r="E70" s="47">
        <f>SUM(E71:E71)</f>
        <v>300.7</v>
      </c>
      <c r="F70" s="47">
        <f>SUM(F71:F71)</f>
        <v>300.7</v>
      </c>
      <c r="G70" s="20">
        <f>F70-E70</f>
        <v>0</v>
      </c>
      <c r="H70" s="20">
        <f>F70/E70*100-100</f>
        <v>0</v>
      </c>
    </row>
    <row r="71" spans="1:8" ht="15.75">
      <c r="A71" s="55" t="s">
        <v>90</v>
      </c>
      <c r="B71" s="21">
        <v>76001</v>
      </c>
      <c r="C71" s="58" t="s">
        <v>62</v>
      </c>
      <c r="D71" s="21">
        <v>800</v>
      </c>
      <c r="E71" s="23">
        <v>300.7</v>
      </c>
      <c r="F71" s="23">
        <v>300.7</v>
      </c>
      <c r="G71" s="36">
        <f aca="true" t="shared" si="2" ref="G71:G134">F71-E71</f>
        <v>0</v>
      </c>
      <c r="H71" s="36">
        <f aca="true" t="shared" si="3" ref="H71:H134">F71/E71*100-100</f>
        <v>0</v>
      </c>
    </row>
    <row r="72" spans="1:8" ht="15.75" customHeight="1">
      <c r="A72" s="17" t="s">
        <v>91</v>
      </c>
      <c r="B72" s="18">
        <v>77000</v>
      </c>
      <c r="C72" s="19" t="s">
        <v>32</v>
      </c>
      <c r="D72" s="18"/>
      <c r="E72" s="20">
        <f>E73+E86+E95+E103+E106+E107+E104+E105+E108+E109</f>
        <v>90610.29999999999</v>
      </c>
      <c r="F72" s="20">
        <f>F73+F86+F95+F103+F106+F107+F104+F105+F108+F109</f>
        <v>64979.6</v>
      </c>
      <c r="G72" s="20">
        <f t="shared" si="2"/>
        <v>-25630.69999999999</v>
      </c>
      <c r="H72" s="20">
        <f t="shared" si="3"/>
        <v>-28.286740028451504</v>
      </c>
    </row>
    <row r="73" spans="1:8" ht="54" customHeight="1">
      <c r="A73" s="38" t="s">
        <v>92</v>
      </c>
      <c r="B73" s="39">
        <v>77100</v>
      </c>
      <c r="C73" s="40" t="s">
        <v>32</v>
      </c>
      <c r="D73" s="39"/>
      <c r="E73" s="41">
        <f>SUM(E74:E85)</f>
        <v>41429.499999999985</v>
      </c>
      <c r="F73" s="41">
        <f>SUM(F74:F85)</f>
        <v>30485.899999999998</v>
      </c>
      <c r="G73" s="53">
        <f t="shared" si="2"/>
        <v>-10943.599999999988</v>
      </c>
      <c r="H73" s="53">
        <f t="shared" si="3"/>
        <v>-26.4149941466829</v>
      </c>
    </row>
    <row r="74" spans="1:8" ht="31.5">
      <c r="A74" s="28" t="s">
        <v>93</v>
      </c>
      <c r="B74" s="32">
        <v>77101</v>
      </c>
      <c r="C74" s="21">
        <v>76700</v>
      </c>
      <c r="D74" s="21">
        <v>600</v>
      </c>
      <c r="E74" s="23">
        <f>24356.8+258+184.6</f>
        <v>24799.399999999998</v>
      </c>
      <c r="F74" s="23">
        <v>18266.6</v>
      </c>
      <c r="G74" s="36">
        <f t="shared" si="2"/>
        <v>-6532.799999999999</v>
      </c>
      <c r="H74" s="36">
        <f t="shared" si="3"/>
        <v>-26.342572804180747</v>
      </c>
    </row>
    <row r="75" spans="1:8" ht="15.75" customHeight="1">
      <c r="A75" s="74" t="s">
        <v>25</v>
      </c>
      <c r="B75" s="32">
        <v>77102</v>
      </c>
      <c r="C75" s="22" t="s">
        <v>44</v>
      </c>
      <c r="D75" s="21">
        <v>600</v>
      </c>
      <c r="E75" s="23">
        <f>12675.3+241.2</f>
        <v>12916.5</v>
      </c>
      <c r="F75" s="23">
        <v>9840.9</v>
      </c>
      <c r="G75" s="36">
        <f t="shared" si="2"/>
        <v>-3075.6000000000004</v>
      </c>
      <c r="H75" s="36">
        <f t="shared" si="3"/>
        <v>-23.811404018116363</v>
      </c>
    </row>
    <row r="76" spans="1:8" ht="15.75">
      <c r="A76" s="75"/>
      <c r="B76" s="32">
        <v>77102</v>
      </c>
      <c r="C76" s="21">
        <v>76900</v>
      </c>
      <c r="D76" s="21">
        <v>600</v>
      </c>
      <c r="E76" s="23">
        <v>329.6</v>
      </c>
      <c r="F76" s="23">
        <v>187.5</v>
      </c>
      <c r="G76" s="36">
        <f t="shared" si="2"/>
        <v>-142.10000000000002</v>
      </c>
      <c r="H76" s="36">
        <f t="shared" si="3"/>
        <v>-43.11286407766991</v>
      </c>
    </row>
    <row r="77" spans="1:8" ht="15.75">
      <c r="A77" s="76"/>
      <c r="B77" s="32">
        <v>77102</v>
      </c>
      <c r="C77" s="21">
        <v>99150</v>
      </c>
      <c r="D77" s="21">
        <v>600</v>
      </c>
      <c r="E77" s="24">
        <f>1267.2-49.3-153.4</f>
        <v>1064.5</v>
      </c>
      <c r="F77" s="24">
        <v>300</v>
      </c>
      <c r="G77" s="36">
        <f t="shared" si="2"/>
        <v>-764.5</v>
      </c>
      <c r="H77" s="36">
        <f t="shared" si="3"/>
        <v>-71.81775481446688</v>
      </c>
    </row>
    <row r="78" spans="1:8" ht="15.75" customHeight="1">
      <c r="A78" s="54" t="s">
        <v>64</v>
      </c>
      <c r="B78" s="32">
        <v>77103</v>
      </c>
      <c r="C78" s="21">
        <v>69100</v>
      </c>
      <c r="D78" s="21">
        <v>600</v>
      </c>
      <c r="E78" s="24">
        <v>219</v>
      </c>
      <c r="F78" s="24">
        <v>219</v>
      </c>
      <c r="G78" s="36">
        <f t="shared" si="2"/>
        <v>0</v>
      </c>
      <c r="H78" s="36">
        <f t="shared" si="3"/>
        <v>0</v>
      </c>
    </row>
    <row r="79" spans="1:8" ht="47.25">
      <c r="A79" s="35" t="s">
        <v>5</v>
      </c>
      <c r="B79" s="32">
        <v>77104</v>
      </c>
      <c r="C79" s="21">
        <v>99160</v>
      </c>
      <c r="D79" s="21">
        <v>200</v>
      </c>
      <c r="E79" s="24">
        <v>16</v>
      </c>
      <c r="F79" s="24">
        <v>0</v>
      </c>
      <c r="G79" s="36">
        <f t="shared" si="2"/>
        <v>-16</v>
      </c>
      <c r="H79" s="36">
        <f t="shared" si="3"/>
        <v>-100</v>
      </c>
    </row>
    <row r="80" spans="1:8" ht="31.5">
      <c r="A80" s="28" t="s">
        <v>94</v>
      </c>
      <c r="B80" s="32">
        <v>77106</v>
      </c>
      <c r="C80" s="21">
        <v>69100</v>
      </c>
      <c r="D80" s="21">
        <v>600</v>
      </c>
      <c r="E80" s="24">
        <v>503.1</v>
      </c>
      <c r="F80" s="24">
        <v>503.1</v>
      </c>
      <c r="G80" s="36">
        <f t="shared" si="2"/>
        <v>0</v>
      </c>
      <c r="H80" s="36">
        <f t="shared" si="3"/>
        <v>0</v>
      </c>
    </row>
    <row r="81" spans="1:8" ht="15.75" customHeight="1">
      <c r="A81" s="74" t="s">
        <v>23</v>
      </c>
      <c r="B81" s="32">
        <v>77107</v>
      </c>
      <c r="C81" s="32">
        <v>77800</v>
      </c>
      <c r="D81" s="21">
        <v>100</v>
      </c>
      <c r="E81" s="24">
        <v>34.4</v>
      </c>
      <c r="F81" s="24">
        <v>23.5</v>
      </c>
      <c r="G81" s="36">
        <f t="shared" si="2"/>
        <v>-10.899999999999999</v>
      </c>
      <c r="H81" s="36">
        <f t="shared" si="3"/>
        <v>-31.686046511627907</v>
      </c>
    </row>
    <row r="82" spans="1:8" ht="15.75">
      <c r="A82" s="75"/>
      <c r="B82" s="32">
        <v>77107</v>
      </c>
      <c r="C82" s="32">
        <v>77800</v>
      </c>
      <c r="D82" s="21">
        <v>200</v>
      </c>
      <c r="E82" s="24">
        <v>11.2</v>
      </c>
      <c r="F82" s="24">
        <v>4.1</v>
      </c>
      <c r="G82" s="36">
        <f t="shared" si="2"/>
        <v>-7.1</v>
      </c>
      <c r="H82" s="36">
        <f t="shared" si="3"/>
        <v>-63.392857142857146</v>
      </c>
    </row>
    <row r="83" spans="1:8" ht="15.75">
      <c r="A83" s="76"/>
      <c r="B83" s="32">
        <v>77107</v>
      </c>
      <c r="C83" s="21">
        <v>77900</v>
      </c>
      <c r="D83" s="21">
        <v>300</v>
      </c>
      <c r="E83" s="24">
        <f>801.7+191.4</f>
        <v>993.1</v>
      </c>
      <c r="F83" s="24">
        <v>901.2</v>
      </c>
      <c r="G83" s="64">
        <f t="shared" si="2"/>
        <v>-91.89999999999998</v>
      </c>
      <c r="H83" s="64">
        <f t="shared" si="3"/>
        <v>-9.253851575873526</v>
      </c>
    </row>
    <row r="84" spans="1:8" ht="15.75" customHeight="1">
      <c r="A84" s="74" t="s">
        <v>73</v>
      </c>
      <c r="B84" s="32">
        <v>77108</v>
      </c>
      <c r="C84" s="30">
        <v>72300</v>
      </c>
      <c r="D84" s="57">
        <v>600</v>
      </c>
      <c r="E84" s="23">
        <f>208.6-3.4+250.5-303.1+48.1</f>
        <v>200.69999999999996</v>
      </c>
      <c r="F84" s="23">
        <v>151</v>
      </c>
      <c r="G84" s="36">
        <f t="shared" si="2"/>
        <v>-49.69999999999996</v>
      </c>
      <c r="H84" s="36">
        <f t="shared" si="3"/>
        <v>-24.763328350772284</v>
      </c>
    </row>
    <row r="85" spans="1:8" ht="15.75">
      <c r="A85" s="76"/>
      <c r="B85" s="32">
        <v>77108</v>
      </c>
      <c r="C85" s="30" t="s">
        <v>95</v>
      </c>
      <c r="D85" s="57">
        <v>600</v>
      </c>
      <c r="E85" s="23">
        <f>75.9+11.1+303.1-48.1</f>
        <v>342</v>
      </c>
      <c r="F85" s="23">
        <v>89</v>
      </c>
      <c r="G85" s="36">
        <f t="shared" si="2"/>
        <v>-253</v>
      </c>
      <c r="H85" s="36">
        <f t="shared" si="3"/>
        <v>-73.9766081871345</v>
      </c>
    </row>
    <row r="86" spans="1:8" ht="47.25">
      <c r="A86" s="38" t="s">
        <v>96</v>
      </c>
      <c r="B86" s="39">
        <v>77200</v>
      </c>
      <c r="C86" s="40" t="s">
        <v>32</v>
      </c>
      <c r="D86" s="39"/>
      <c r="E86" s="41">
        <f>SUM(E87:E94)</f>
        <v>33227.2</v>
      </c>
      <c r="F86" s="41">
        <f>SUM(F87:F94)</f>
        <v>23426.6</v>
      </c>
      <c r="G86" s="53">
        <f t="shared" si="2"/>
        <v>-9800.599999999999</v>
      </c>
      <c r="H86" s="53">
        <f t="shared" si="3"/>
        <v>-29.49571435450474</v>
      </c>
    </row>
    <row r="87" spans="1:8" ht="15.75" customHeight="1">
      <c r="A87" s="69" t="s">
        <v>97</v>
      </c>
      <c r="B87" s="32">
        <v>77201</v>
      </c>
      <c r="C87" s="22" t="s">
        <v>44</v>
      </c>
      <c r="D87" s="21">
        <v>600</v>
      </c>
      <c r="E87" s="23">
        <f>3597.5+114.1</f>
        <v>3711.6</v>
      </c>
      <c r="F87" s="23">
        <v>2899.9</v>
      </c>
      <c r="G87" s="36">
        <f t="shared" si="2"/>
        <v>-811.6999999999998</v>
      </c>
      <c r="H87" s="36">
        <f t="shared" si="3"/>
        <v>-21.86927470632611</v>
      </c>
    </row>
    <row r="88" spans="1:8" ht="15.75">
      <c r="A88" s="71"/>
      <c r="B88" s="32">
        <v>77201</v>
      </c>
      <c r="C88" s="21">
        <v>77000</v>
      </c>
      <c r="D88" s="21">
        <v>600</v>
      </c>
      <c r="E88" s="23">
        <f>26943+561.1+284.3</f>
        <v>27788.399999999998</v>
      </c>
      <c r="F88" s="23">
        <v>19372.1</v>
      </c>
      <c r="G88" s="36">
        <f t="shared" si="2"/>
        <v>-8416.3</v>
      </c>
      <c r="H88" s="36">
        <f t="shared" si="3"/>
        <v>-30.287098213643105</v>
      </c>
    </row>
    <row r="89" spans="1:8" ht="15.75">
      <c r="A89" s="74" t="s">
        <v>24</v>
      </c>
      <c r="B89" s="32">
        <v>77202</v>
      </c>
      <c r="C89" s="21">
        <v>77200</v>
      </c>
      <c r="D89" s="21">
        <v>600</v>
      </c>
      <c r="E89" s="23">
        <v>671.7</v>
      </c>
      <c r="F89" s="23">
        <v>335</v>
      </c>
      <c r="G89" s="36">
        <f t="shared" si="2"/>
        <v>-336.70000000000005</v>
      </c>
      <c r="H89" s="36">
        <f t="shared" si="3"/>
        <v>-50.1265445883579</v>
      </c>
    </row>
    <row r="90" spans="1:8" ht="15.75" customHeight="1">
      <c r="A90" s="75"/>
      <c r="B90" s="32">
        <v>77202</v>
      </c>
      <c r="C90" s="21">
        <v>77270</v>
      </c>
      <c r="D90" s="21">
        <v>600</v>
      </c>
      <c r="E90" s="23">
        <v>246.5</v>
      </c>
      <c r="F90" s="23">
        <v>61.3</v>
      </c>
      <c r="G90" s="36">
        <f t="shared" si="2"/>
        <v>-185.2</v>
      </c>
      <c r="H90" s="36">
        <f t="shared" si="3"/>
        <v>-75.131845841785</v>
      </c>
    </row>
    <row r="91" spans="1:8" s="2" customFormat="1" ht="15.75">
      <c r="A91" s="75"/>
      <c r="B91" s="32">
        <v>77202</v>
      </c>
      <c r="C91" s="32">
        <v>77300</v>
      </c>
      <c r="D91" s="21">
        <v>100</v>
      </c>
      <c r="E91" s="23">
        <f>43+1.6</f>
        <v>44.6</v>
      </c>
      <c r="F91" s="23">
        <v>32.2</v>
      </c>
      <c r="G91" s="36">
        <f t="shared" si="2"/>
        <v>-12.399999999999999</v>
      </c>
      <c r="H91" s="36">
        <f t="shared" si="3"/>
        <v>-27.802690582959627</v>
      </c>
    </row>
    <row r="92" spans="1:8" ht="15.75">
      <c r="A92" s="76"/>
      <c r="B92" s="32">
        <v>77202</v>
      </c>
      <c r="C92" s="32">
        <v>77300</v>
      </c>
      <c r="D92" s="21">
        <v>200</v>
      </c>
      <c r="E92" s="23">
        <v>3.4</v>
      </c>
      <c r="F92" s="23">
        <v>0</v>
      </c>
      <c r="G92" s="64">
        <f t="shared" si="2"/>
        <v>-3.4</v>
      </c>
      <c r="H92" s="64">
        <f t="shared" si="3"/>
        <v>-100</v>
      </c>
    </row>
    <row r="93" spans="1:8" ht="15.75" customHeight="1">
      <c r="A93" s="35" t="s">
        <v>98</v>
      </c>
      <c r="B93" s="32">
        <v>77203</v>
      </c>
      <c r="C93" s="21">
        <v>69100</v>
      </c>
      <c r="D93" s="21">
        <v>600</v>
      </c>
      <c r="E93" s="23">
        <f>300+300</f>
        <v>600</v>
      </c>
      <c r="F93" s="23">
        <v>600</v>
      </c>
      <c r="G93" s="36">
        <f t="shared" si="2"/>
        <v>0</v>
      </c>
      <c r="H93" s="36">
        <f t="shared" si="3"/>
        <v>0</v>
      </c>
    </row>
    <row r="94" spans="1:8" ht="31.5">
      <c r="A94" s="35" t="s">
        <v>65</v>
      </c>
      <c r="B94" s="32">
        <v>77205</v>
      </c>
      <c r="C94" s="21">
        <v>99170</v>
      </c>
      <c r="D94" s="21">
        <v>200</v>
      </c>
      <c r="E94" s="23">
        <v>161</v>
      </c>
      <c r="F94" s="23">
        <v>126.1</v>
      </c>
      <c r="G94" s="36">
        <f t="shared" si="2"/>
        <v>-34.900000000000006</v>
      </c>
      <c r="H94" s="36">
        <f t="shared" si="3"/>
        <v>-21.677018633540385</v>
      </c>
    </row>
    <row r="95" spans="1:8" ht="47.25">
      <c r="A95" s="38" t="s">
        <v>99</v>
      </c>
      <c r="B95" s="39">
        <v>77300</v>
      </c>
      <c r="C95" s="40" t="s">
        <v>32</v>
      </c>
      <c r="D95" s="39"/>
      <c r="E95" s="41">
        <f>SUM(E96:E102)</f>
        <v>13983.5</v>
      </c>
      <c r="F95" s="41">
        <f>SUM(F96:F102)</f>
        <v>9917.199999999999</v>
      </c>
      <c r="G95" s="53">
        <f t="shared" si="2"/>
        <v>-4066.300000000001</v>
      </c>
      <c r="H95" s="53">
        <f t="shared" si="3"/>
        <v>-29.079271999141852</v>
      </c>
    </row>
    <row r="96" spans="1:8" ht="15.75" customHeight="1">
      <c r="A96" s="74" t="s">
        <v>100</v>
      </c>
      <c r="B96" s="21">
        <v>77301</v>
      </c>
      <c r="C96" s="42" t="s">
        <v>45</v>
      </c>
      <c r="D96" s="21">
        <v>600</v>
      </c>
      <c r="E96" s="26">
        <f>6450+2.1</f>
        <v>6452.1</v>
      </c>
      <c r="F96" s="26">
        <v>4728</v>
      </c>
      <c r="G96" s="36">
        <f t="shared" si="2"/>
        <v>-1724.1000000000004</v>
      </c>
      <c r="H96" s="36">
        <f t="shared" si="3"/>
        <v>-26.721532524294417</v>
      </c>
    </row>
    <row r="97" spans="1:8" ht="15.75">
      <c r="A97" s="76"/>
      <c r="B97" s="21">
        <v>77301</v>
      </c>
      <c r="C97" s="42" t="s">
        <v>46</v>
      </c>
      <c r="D97" s="21">
        <v>600</v>
      </c>
      <c r="E97" s="23">
        <f>5980+30.4</f>
        <v>6010.4</v>
      </c>
      <c r="F97" s="23">
        <v>4400</v>
      </c>
      <c r="G97" s="36">
        <f t="shared" si="2"/>
        <v>-1610.3999999999996</v>
      </c>
      <c r="H97" s="36">
        <f t="shared" si="3"/>
        <v>-26.79355783308931</v>
      </c>
    </row>
    <row r="98" spans="1:8" s="2" customFormat="1" ht="15.75" customHeight="1">
      <c r="A98" s="43" t="s">
        <v>101</v>
      </c>
      <c r="B98" s="32">
        <v>77303</v>
      </c>
      <c r="C98" s="42" t="s">
        <v>102</v>
      </c>
      <c r="D98" s="21">
        <v>600</v>
      </c>
      <c r="E98" s="23">
        <v>300</v>
      </c>
      <c r="F98" s="23">
        <v>242.1</v>
      </c>
      <c r="G98" s="36">
        <f t="shared" si="2"/>
        <v>-57.900000000000006</v>
      </c>
      <c r="H98" s="36">
        <f t="shared" si="3"/>
        <v>-19.30000000000001</v>
      </c>
    </row>
    <row r="99" spans="1:8" ht="15.75" customHeight="1">
      <c r="A99" s="77" t="s">
        <v>67</v>
      </c>
      <c r="B99" s="32">
        <v>77304</v>
      </c>
      <c r="C99" s="32">
        <v>71800</v>
      </c>
      <c r="D99" s="21">
        <v>600</v>
      </c>
      <c r="E99" s="23">
        <v>497.5</v>
      </c>
      <c r="F99" s="23">
        <v>301.5</v>
      </c>
      <c r="G99" s="36">
        <f t="shared" si="2"/>
        <v>-196</v>
      </c>
      <c r="H99" s="36">
        <f t="shared" si="3"/>
        <v>-39.39698492462311</v>
      </c>
    </row>
    <row r="100" spans="1:8" ht="15.75" customHeight="1">
      <c r="A100" s="78"/>
      <c r="B100" s="32">
        <v>77304</v>
      </c>
      <c r="C100" s="32" t="s">
        <v>66</v>
      </c>
      <c r="D100" s="21">
        <v>600</v>
      </c>
      <c r="E100" s="23">
        <f>24.9+140.9</f>
        <v>165.8</v>
      </c>
      <c r="F100" s="23">
        <v>57.5</v>
      </c>
      <c r="G100" s="36">
        <f t="shared" si="2"/>
        <v>-108.30000000000001</v>
      </c>
      <c r="H100" s="36">
        <f t="shared" si="3"/>
        <v>-65.31966224366707</v>
      </c>
    </row>
    <row r="101" spans="1:8" ht="15.75" customHeight="1">
      <c r="A101" s="74" t="s">
        <v>73</v>
      </c>
      <c r="B101" s="32">
        <v>77305</v>
      </c>
      <c r="C101" s="30">
        <v>72301</v>
      </c>
      <c r="D101" s="57">
        <v>600</v>
      </c>
      <c r="E101" s="23">
        <f>183.6+119.5</f>
        <v>303.1</v>
      </c>
      <c r="F101" s="23">
        <v>117.8</v>
      </c>
      <c r="G101" s="36">
        <f t="shared" si="2"/>
        <v>-185.3</v>
      </c>
      <c r="H101" s="36">
        <f t="shared" si="3"/>
        <v>-61.13493896403828</v>
      </c>
    </row>
    <row r="102" spans="1:8" ht="15.75" customHeight="1">
      <c r="A102" s="76"/>
      <c r="B102" s="32">
        <v>77305</v>
      </c>
      <c r="C102" s="30">
        <v>72302</v>
      </c>
      <c r="D102" s="57">
        <v>600</v>
      </c>
      <c r="E102" s="23">
        <f>176.1+78.5</f>
        <v>254.6</v>
      </c>
      <c r="F102" s="23">
        <v>70.3</v>
      </c>
      <c r="G102" s="36">
        <f t="shared" si="2"/>
        <v>-184.3</v>
      </c>
      <c r="H102" s="36">
        <f t="shared" si="3"/>
        <v>-72.38805970149254</v>
      </c>
    </row>
    <row r="103" spans="1:8" ht="15.75" customHeight="1">
      <c r="A103" s="69" t="s">
        <v>6</v>
      </c>
      <c r="B103" s="21">
        <v>77001</v>
      </c>
      <c r="C103" s="22" t="s">
        <v>41</v>
      </c>
      <c r="D103" s="21">
        <v>100</v>
      </c>
      <c r="E103" s="23">
        <v>1615</v>
      </c>
      <c r="F103" s="23">
        <v>980.3</v>
      </c>
      <c r="G103" s="36">
        <f t="shared" si="2"/>
        <v>-634.7</v>
      </c>
      <c r="H103" s="36">
        <f t="shared" si="3"/>
        <v>-39.30030959752322</v>
      </c>
    </row>
    <row r="104" spans="1:8" ht="15.75">
      <c r="A104" s="70"/>
      <c r="B104" s="21">
        <v>77001</v>
      </c>
      <c r="C104" s="22" t="s">
        <v>41</v>
      </c>
      <c r="D104" s="21">
        <v>200</v>
      </c>
      <c r="E104" s="23">
        <f>108-15.7</f>
        <v>92.3</v>
      </c>
      <c r="F104" s="23">
        <v>34.3</v>
      </c>
      <c r="G104" s="36">
        <f t="shared" si="2"/>
        <v>-58</v>
      </c>
      <c r="H104" s="36">
        <f t="shared" si="3"/>
        <v>-62.8385698808234</v>
      </c>
    </row>
    <row r="105" spans="1:8" ht="15.75">
      <c r="A105" s="71"/>
      <c r="B105" s="21">
        <v>77001</v>
      </c>
      <c r="C105" s="22" t="s">
        <v>41</v>
      </c>
      <c r="D105" s="21">
        <v>800</v>
      </c>
      <c r="E105" s="23">
        <v>3.6</v>
      </c>
      <c r="F105" s="23">
        <v>1.7</v>
      </c>
      <c r="G105" s="36">
        <f t="shared" si="2"/>
        <v>-1.9000000000000001</v>
      </c>
      <c r="H105" s="36">
        <f t="shared" si="3"/>
        <v>-52.77777777777778</v>
      </c>
    </row>
    <row r="106" spans="1:8" ht="15.75" customHeight="1">
      <c r="A106" s="35" t="s">
        <v>47</v>
      </c>
      <c r="B106" s="21">
        <v>77002</v>
      </c>
      <c r="C106" s="21">
        <v>99180</v>
      </c>
      <c r="D106" s="21">
        <v>200</v>
      </c>
      <c r="E106" s="23">
        <v>108.8</v>
      </c>
      <c r="F106" s="23">
        <v>77.3</v>
      </c>
      <c r="G106" s="36">
        <f t="shared" si="2"/>
        <v>-31.5</v>
      </c>
      <c r="H106" s="36">
        <f t="shared" si="3"/>
        <v>-28.952205882352942</v>
      </c>
    </row>
    <row r="107" spans="1:8" s="2" customFormat="1" ht="15.75">
      <c r="A107" s="35" t="s">
        <v>103</v>
      </c>
      <c r="B107" s="21">
        <v>77003</v>
      </c>
      <c r="C107" s="21">
        <v>99190</v>
      </c>
      <c r="D107" s="21">
        <v>200</v>
      </c>
      <c r="E107" s="23">
        <v>74</v>
      </c>
      <c r="F107" s="23">
        <v>7.5</v>
      </c>
      <c r="G107" s="66">
        <f t="shared" si="2"/>
        <v>-66.5</v>
      </c>
      <c r="H107" s="66">
        <f t="shared" si="3"/>
        <v>-89.86486486486487</v>
      </c>
    </row>
    <row r="108" spans="1:8" s="2" customFormat="1" ht="15.75" customHeight="1">
      <c r="A108" s="29" t="s">
        <v>73</v>
      </c>
      <c r="B108" s="21">
        <v>77005</v>
      </c>
      <c r="C108" s="30">
        <v>72300</v>
      </c>
      <c r="D108" s="57">
        <v>100</v>
      </c>
      <c r="E108" s="23">
        <f>60.2+0.5</f>
        <v>60.7</v>
      </c>
      <c r="F108" s="23">
        <v>33.1</v>
      </c>
      <c r="G108" s="36">
        <f t="shared" si="2"/>
        <v>-27.6</v>
      </c>
      <c r="H108" s="36">
        <f t="shared" si="3"/>
        <v>-45.46952224052718</v>
      </c>
    </row>
    <row r="109" spans="1:8" s="2" customFormat="1" ht="15.75" customHeight="1">
      <c r="A109" s="29" t="s">
        <v>128</v>
      </c>
      <c r="B109" s="21">
        <v>77006</v>
      </c>
      <c r="C109" s="21">
        <v>99180</v>
      </c>
      <c r="D109" s="21">
        <v>200</v>
      </c>
      <c r="E109" s="23">
        <v>15.7</v>
      </c>
      <c r="F109" s="23">
        <v>15.7</v>
      </c>
      <c r="G109" s="36">
        <f t="shared" si="2"/>
        <v>0</v>
      </c>
      <c r="H109" s="36">
        <f t="shared" si="3"/>
        <v>0</v>
      </c>
    </row>
    <row r="110" spans="1:8" s="2" customFormat="1" ht="15.75" customHeight="1">
      <c r="A110" s="17" t="s">
        <v>104</v>
      </c>
      <c r="B110" s="18">
        <v>78000</v>
      </c>
      <c r="C110" s="19" t="s">
        <v>32</v>
      </c>
      <c r="D110" s="18"/>
      <c r="E110" s="20">
        <f>SUM(E111:E122)</f>
        <v>19409.899999999998</v>
      </c>
      <c r="F110" s="20">
        <f>SUM(F111:F122)</f>
        <v>11703.9</v>
      </c>
      <c r="G110" s="20">
        <f t="shared" si="2"/>
        <v>-7705.999999999998</v>
      </c>
      <c r="H110" s="20">
        <f t="shared" si="3"/>
        <v>-39.701389497112295</v>
      </c>
    </row>
    <row r="111" spans="1:8" s="2" customFormat="1" ht="47.25">
      <c r="A111" s="54" t="s">
        <v>7</v>
      </c>
      <c r="B111" s="21">
        <v>78001</v>
      </c>
      <c r="C111" s="21">
        <v>99200</v>
      </c>
      <c r="D111" s="21">
        <v>600</v>
      </c>
      <c r="E111" s="23">
        <f>1100+249.1</f>
        <v>1349.1</v>
      </c>
      <c r="F111" s="23">
        <v>969.1</v>
      </c>
      <c r="G111" s="36">
        <f t="shared" si="2"/>
        <v>-379.9999999999999</v>
      </c>
      <c r="H111" s="36">
        <f t="shared" si="3"/>
        <v>-28.166926098880722</v>
      </c>
    </row>
    <row r="112" spans="1:8" s="2" customFormat="1" ht="15.75" customHeight="1">
      <c r="A112" s="69" t="s">
        <v>68</v>
      </c>
      <c r="B112" s="21">
        <v>78002</v>
      </c>
      <c r="C112" s="22" t="s">
        <v>41</v>
      </c>
      <c r="D112" s="21">
        <v>100</v>
      </c>
      <c r="E112" s="23">
        <v>923.4</v>
      </c>
      <c r="F112" s="23">
        <v>663.3</v>
      </c>
      <c r="G112" s="36">
        <f t="shared" si="2"/>
        <v>-260.1</v>
      </c>
      <c r="H112" s="36">
        <f t="shared" si="3"/>
        <v>-28.167641325536067</v>
      </c>
    </row>
    <row r="113" spans="1:8" s="4" customFormat="1" ht="15.75">
      <c r="A113" s="70"/>
      <c r="B113" s="21">
        <v>78002</v>
      </c>
      <c r="C113" s="22" t="s">
        <v>41</v>
      </c>
      <c r="D113" s="21">
        <v>200</v>
      </c>
      <c r="E113" s="23">
        <f>369.5-194.5</f>
        <v>175</v>
      </c>
      <c r="F113" s="23">
        <v>151.3</v>
      </c>
      <c r="G113" s="36">
        <f t="shared" si="2"/>
        <v>-23.69999999999999</v>
      </c>
      <c r="H113" s="36">
        <f t="shared" si="3"/>
        <v>-13.54285714285713</v>
      </c>
    </row>
    <row r="114" spans="1:8" ht="15.75" customHeight="1">
      <c r="A114" s="70"/>
      <c r="B114" s="21">
        <v>78002</v>
      </c>
      <c r="C114" s="22" t="s">
        <v>41</v>
      </c>
      <c r="D114" s="21">
        <v>800</v>
      </c>
      <c r="E114" s="23">
        <v>1</v>
      </c>
      <c r="F114" s="23">
        <v>0</v>
      </c>
      <c r="G114" s="36">
        <f t="shared" si="2"/>
        <v>-1</v>
      </c>
      <c r="H114" s="36">
        <f t="shared" si="3"/>
        <v>-100</v>
      </c>
    </row>
    <row r="115" spans="1:8" ht="15.75">
      <c r="A115" s="71"/>
      <c r="B115" s="21">
        <v>78002</v>
      </c>
      <c r="C115" s="22" t="s">
        <v>105</v>
      </c>
      <c r="D115" s="21">
        <v>200</v>
      </c>
      <c r="E115" s="23">
        <v>194.5</v>
      </c>
      <c r="F115" s="23">
        <v>72.8</v>
      </c>
      <c r="G115" s="36">
        <f t="shared" si="2"/>
        <v>-121.7</v>
      </c>
      <c r="H115" s="36">
        <f t="shared" si="3"/>
        <v>-62.5706940874036</v>
      </c>
    </row>
    <row r="116" spans="1:8" ht="15.75">
      <c r="A116" s="35" t="s">
        <v>8</v>
      </c>
      <c r="B116" s="21">
        <v>78003</v>
      </c>
      <c r="C116" s="22" t="s">
        <v>44</v>
      </c>
      <c r="D116" s="21">
        <v>600</v>
      </c>
      <c r="E116" s="23">
        <f>7343.7-1108.8</f>
        <v>6234.9</v>
      </c>
      <c r="F116" s="23">
        <v>4500.2</v>
      </c>
      <c r="G116" s="36">
        <f t="shared" si="2"/>
        <v>-1734.6999999999998</v>
      </c>
      <c r="H116" s="36">
        <f t="shared" si="3"/>
        <v>-27.822418964217547</v>
      </c>
    </row>
    <row r="117" spans="1:8" ht="15.75" customHeight="1">
      <c r="A117" s="69" t="s">
        <v>48</v>
      </c>
      <c r="B117" s="21">
        <v>78004</v>
      </c>
      <c r="C117" s="21">
        <v>99210</v>
      </c>
      <c r="D117" s="21">
        <v>200</v>
      </c>
      <c r="E117" s="23">
        <v>415.8</v>
      </c>
      <c r="F117" s="23">
        <v>252.6</v>
      </c>
      <c r="G117" s="36">
        <f t="shared" si="2"/>
        <v>-163.20000000000002</v>
      </c>
      <c r="H117" s="36">
        <f t="shared" si="3"/>
        <v>-39.24963924963926</v>
      </c>
    </row>
    <row r="118" spans="1:8" ht="15.75">
      <c r="A118" s="71"/>
      <c r="B118" s="21">
        <v>78004</v>
      </c>
      <c r="C118" s="21">
        <v>99220</v>
      </c>
      <c r="D118" s="21">
        <v>600</v>
      </c>
      <c r="E118" s="23">
        <f>2080+859.6</f>
        <v>2939.6</v>
      </c>
      <c r="F118" s="23">
        <v>2111.7</v>
      </c>
      <c r="G118" s="36">
        <f t="shared" si="2"/>
        <v>-827.9000000000001</v>
      </c>
      <c r="H118" s="36">
        <f t="shared" si="3"/>
        <v>-28.163695740917134</v>
      </c>
    </row>
    <row r="119" spans="1:8" ht="15.75" customHeight="1">
      <c r="A119" s="35" t="s">
        <v>106</v>
      </c>
      <c r="B119" s="21">
        <v>78005</v>
      </c>
      <c r="C119" s="21">
        <v>69100</v>
      </c>
      <c r="D119" s="21">
        <v>600</v>
      </c>
      <c r="E119" s="31">
        <f>3220.4+599.6-1133.1-300+80</f>
        <v>2466.9</v>
      </c>
      <c r="F119" s="31">
        <v>556.5</v>
      </c>
      <c r="G119" s="36">
        <f t="shared" si="2"/>
        <v>-1910.4</v>
      </c>
      <c r="H119" s="36">
        <f t="shared" si="3"/>
        <v>-77.44132311808343</v>
      </c>
    </row>
    <row r="120" spans="1:8" ht="15.75" customHeight="1">
      <c r="A120" s="77" t="s">
        <v>67</v>
      </c>
      <c r="B120" s="57">
        <v>78008</v>
      </c>
      <c r="C120" s="32">
        <v>71800</v>
      </c>
      <c r="D120" s="21">
        <v>600</v>
      </c>
      <c r="E120" s="23">
        <v>3480.5</v>
      </c>
      <c r="F120" s="23">
        <v>2023.3</v>
      </c>
      <c r="G120" s="66">
        <f t="shared" si="2"/>
        <v>-1457.2</v>
      </c>
      <c r="H120" s="66">
        <f t="shared" si="3"/>
        <v>-41.867547766125554</v>
      </c>
    </row>
    <row r="121" spans="1:8" ht="15.75">
      <c r="A121" s="78"/>
      <c r="B121" s="57">
        <v>78008</v>
      </c>
      <c r="C121" s="32" t="s">
        <v>66</v>
      </c>
      <c r="D121" s="21">
        <v>600</v>
      </c>
      <c r="E121" s="23">
        <f>174+986.2</f>
        <v>1160.2</v>
      </c>
      <c r="F121" s="23">
        <v>385</v>
      </c>
      <c r="G121" s="36">
        <f t="shared" si="2"/>
        <v>-775.2</v>
      </c>
      <c r="H121" s="36">
        <f t="shared" si="3"/>
        <v>-66.81606619548353</v>
      </c>
    </row>
    <row r="122" spans="1:8" ht="15.75" customHeight="1">
      <c r="A122" s="29" t="s">
        <v>73</v>
      </c>
      <c r="B122" s="57">
        <v>78009</v>
      </c>
      <c r="C122" s="30">
        <v>72300</v>
      </c>
      <c r="D122" s="57">
        <v>100</v>
      </c>
      <c r="E122" s="23">
        <f>41.2+27.8</f>
        <v>69</v>
      </c>
      <c r="F122" s="23">
        <v>18.1</v>
      </c>
      <c r="G122" s="36">
        <f t="shared" si="2"/>
        <v>-50.9</v>
      </c>
      <c r="H122" s="36">
        <f t="shared" si="3"/>
        <v>-73.76811594202898</v>
      </c>
    </row>
    <row r="123" spans="1:8" ht="47.25">
      <c r="A123" s="17" t="s">
        <v>107</v>
      </c>
      <c r="B123" s="18">
        <v>79000</v>
      </c>
      <c r="C123" s="19" t="s">
        <v>32</v>
      </c>
      <c r="D123" s="18"/>
      <c r="E123" s="20">
        <f>SUM(E124:E135)</f>
        <v>1536.5</v>
      </c>
      <c r="F123" s="20">
        <f>SUM(F124:F135)</f>
        <v>906.0999999999999</v>
      </c>
      <c r="G123" s="20">
        <f t="shared" si="2"/>
        <v>-630.4000000000001</v>
      </c>
      <c r="H123" s="20">
        <f t="shared" si="3"/>
        <v>-41.02831109664823</v>
      </c>
    </row>
    <row r="124" spans="1:8" ht="15.75" customHeight="1">
      <c r="A124" s="35" t="s">
        <v>148</v>
      </c>
      <c r="B124" s="21">
        <v>79001</v>
      </c>
      <c r="C124" s="21">
        <v>99990</v>
      </c>
      <c r="D124" s="21">
        <v>600</v>
      </c>
      <c r="E124" s="23">
        <v>303.8</v>
      </c>
      <c r="F124" s="23">
        <v>303.2</v>
      </c>
      <c r="G124" s="36">
        <f t="shared" si="2"/>
        <v>-0.6000000000000227</v>
      </c>
      <c r="H124" s="36">
        <f t="shared" si="3"/>
        <v>-0.19749835418039652</v>
      </c>
    </row>
    <row r="125" spans="1:8" ht="15.75" customHeight="1">
      <c r="A125" s="69" t="s">
        <v>13</v>
      </c>
      <c r="B125" s="21">
        <v>79002</v>
      </c>
      <c r="C125" s="21">
        <v>79200</v>
      </c>
      <c r="D125" s="21">
        <v>200</v>
      </c>
      <c r="E125" s="23">
        <v>100</v>
      </c>
      <c r="F125" s="23">
        <v>95.2</v>
      </c>
      <c r="G125" s="36">
        <f t="shared" si="2"/>
        <v>-4.799999999999997</v>
      </c>
      <c r="H125" s="36">
        <f t="shared" si="3"/>
        <v>-4.799999999999997</v>
      </c>
    </row>
    <row r="126" spans="1:8" ht="15.75">
      <c r="A126" s="71"/>
      <c r="B126" s="21">
        <v>79002</v>
      </c>
      <c r="C126" s="21">
        <v>99260</v>
      </c>
      <c r="D126" s="21">
        <v>200</v>
      </c>
      <c r="E126" s="23">
        <v>177.5</v>
      </c>
      <c r="F126" s="23">
        <v>141.5</v>
      </c>
      <c r="G126" s="36">
        <f t="shared" si="2"/>
        <v>-36</v>
      </c>
      <c r="H126" s="36">
        <f t="shared" si="3"/>
        <v>-20.281690140845072</v>
      </c>
    </row>
    <row r="127" spans="1:8" ht="15.75" customHeight="1">
      <c r="A127" s="61" t="s">
        <v>108</v>
      </c>
      <c r="B127" s="21">
        <v>79004</v>
      </c>
      <c r="C127" s="21">
        <v>99310</v>
      </c>
      <c r="D127" s="21">
        <v>600</v>
      </c>
      <c r="E127" s="23">
        <f>224.2+118.4</f>
        <v>342.6</v>
      </c>
      <c r="F127" s="23">
        <v>82.6</v>
      </c>
      <c r="G127" s="36">
        <f t="shared" si="2"/>
        <v>-260</v>
      </c>
      <c r="H127" s="36">
        <f t="shared" si="3"/>
        <v>-75.89025102159954</v>
      </c>
    </row>
    <row r="128" spans="1:8" ht="15.75">
      <c r="A128" s="28" t="s">
        <v>109</v>
      </c>
      <c r="B128" s="21">
        <v>79005</v>
      </c>
      <c r="C128" s="21">
        <v>99310</v>
      </c>
      <c r="D128" s="21">
        <v>200</v>
      </c>
      <c r="E128" s="23">
        <f>110-20</f>
        <v>90</v>
      </c>
      <c r="F128" s="23">
        <v>20</v>
      </c>
      <c r="G128" s="36">
        <f t="shared" si="2"/>
        <v>-70</v>
      </c>
      <c r="H128" s="36">
        <f t="shared" si="3"/>
        <v>-77.77777777777777</v>
      </c>
    </row>
    <row r="129" spans="1:8" ht="15.75" customHeight="1">
      <c r="A129" s="28" t="s">
        <v>110</v>
      </c>
      <c r="B129" s="21">
        <v>79006</v>
      </c>
      <c r="C129" s="21">
        <v>99310</v>
      </c>
      <c r="D129" s="21">
        <v>600</v>
      </c>
      <c r="E129" s="23">
        <v>73.4</v>
      </c>
      <c r="F129" s="23">
        <v>0</v>
      </c>
      <c r="G129" s="36">
        <f t="shared" si="2"/>
        <v>-73.4</v>
      </c>
      <c r="H129" s="36">
        <f t="shared" si="3"/>
        <v>-100</v>
      </c>
    </row>
    <row r="130" spans="1:8" ht="31.5">
      <c r="A130" s="62" t="s">
        <v>111</v>
      </c>
      <c r="B130" s="21">
        <v>79007</v>
      </c>
      <c r="C130" s="21">
        <v>99310</v>
      </c>
      <c r="D130" s="21">
        <v>800</v>
      </c>
      <c r="E130" s="23">
        <v>50</v>
      </c>
      <c r="F130" s="23">
        <v>0</v>
      </c>
      <c r="G130" s="36">
        <f t="shared" si="2"/>
        <v>-50</v>
      </c>
      <c r="H130" s="36">
        <f t="shared" si="3"/>
        <v>-100</v>
      </c>
    </row>
    <row r="131" spans="1:8" ht="15.75">
      <c r="A131" s="28" t="s">
        <v>112</v>
      </c>
      <c r="B131" s="21">
        <v>79008</v>
      </c>
      <c r="C131" s="21">
        <v>99310</v>
      </c>
      <c r="D131" s="21">
        <v>200</v>
      </c>
      <c r="E131" s="23">
        <v>87.9</v>
      </c>
      <c r="F131" s="23">
        <v>43.9</v>
      </c>
      <c r="G131" s="36">
        <f t="shared" si="2"/>
        <v>-44.00000000000001</v>
      </c>
      <c r="H131" s="36">
        <f t="shared" si="3"/>
        <v>-50.056882821387944</v>
      </c>
    </row>
    <row r="132" spans="1:8" ht="15.75" customHeight="1">
      <c r="A132" s="79" t="s">
        <v>113</v>
      </c>
      <c r="B132" s="21">
        <v>79010</v>
      </c>
      <c r="C132" s="21">
        <v>99310</v>
      </c>
      <c r="D132" s="21">
        <v>600</v>
      </c>
      <c r="E132" s="23">
        <v>7.5</v>
      </c>
      <c r="F132" s="23">
        <v>0</v>
      </c>
      <c r="G132" s="36">
        <f t="shared" si="2"/>
        <v>-7.5</v>
      </c>
      <c r="H132" s="36">
        <f t="shared" si="3"/>
        <v>-100</v>
      </c>
    </row>
    <row r="133" spans="1:8" ht="15.75">
      <c r="A133" s="79"/>
      <c r="B133" s="21">
        <v>79010</v>
      </c>
      <c r="C133" s="21">
        <v>99310</v>
      </c>
      <c r="D133" s="21">
        <v>200</v>
      </c>
      <c r="E133" s="23">
        <v>3.8</v>
      </c>
      <c r="F133" s="23">
        <v>0</v>
      </c>
      <c r="G133" s="66">
        <f t="shared" si="2"/>
        <v>-3.8</v>
      </c>
      <c r="H133" s="66">
        <f t="shared" si="3"/>
        <v>-100</v>
      </c>
    </row>
    <row r="134" spans="1:8" ht="15.75">
      <c r="A134" s="79" t="s">
        <v>129</v>
      </c>
      <c r="B134" s="21">
        <v>79011</v>
      </c>
      <c r="C134" s="21">
        <v>99310</v>
      </c>
      <c r="D134" s="21">
        <v>200</v>
      </c>
      <c r="E134" s="23">
        <v>220</v>
      </c>
      <c r="F134" s="23">
        <v>219.7</v>
      </c>
      <c r="G134" s="36">
        <f t="shared" si="2"/>
        <v>-0.30000000000001137</v>
      </c>
      <c r="H134" s="36">
        <f t="shared" si="3"/>
        <v>-0.13636363636364024</v>
      </c>
    </row>
    <row r="135" spans="1:8" ht="15.75">
      <c r="A135" s="79"/>
      <c r="B135" s="21">
        <v>79011</v>
      </c>
      <c r="C135" s="21">
        <v>99310</v>
      </c>
      <c r="D135" s="21">
        <v>800</v>
      </c>
      <c r="E135" s="23">
        <v>80</v>
      </c>
      <c r="F135" s="23">
        <v>0</v>
      </c>
      <c r="G135" s="36">
        <f aca="true" t="shared" si="4" ref="G135:G153">F135-E135</f>
        <v>-80</v>
      </c>
      <c r="H135" s="36">
        <f aca="true" t="shared" si="5" ref="H135:H153">F135/E135*100-100</f>
        <v>-100</v>
      </c>
    </row>
    <row r="136" spans="1:8" ht="15.75" customHeight="1">
      <c r="A136" s="17" t="s">
        <v>114</v>
      </c>
      <c r="B136" s="18" t="s">
        <v>115</v>
      </c>
      <c r="C136" s="19" t="s">
        <v>32</v>
      </c>
      <c r="D136" s="18"/>
      <c r="E136" s="20">
        <f>SUM(E137:E146)</f>
        <v>6220.1</v>
      </c>
      <c r="F136" s="20">
        <f>SUM(F137:F146)</f>
        <v>4729.5</v>
      </c>
      <c r="G136" s="20">
        <f t="shared" si="4"/>
        <v>-1490.6000000000004</v>
      </c>
      <c r="H136" s="20">
        <f t="shared" si="5"/>
        <v>-23.964244947830423</v>
      </c>
    </row>
    <row r="137" spans="1:8" ht="15.75">
      <c r="A137" s="63" t="s">
        <v>116</v>
      </c>
      <c r="B137" s="21" t="s">
        <v>117</v>
      </c>
      <c r="C137" s="32" t="s">
        <v>118</v>
      </c>
      <c r="D137" s="21">
        <v>200</v>
      </c>
      <c r="E137" s="66">
        <f>2834.7+91-364.2</f>
        <v>2561.5</v>
      </c>
      <c r="F137" s="66">
        <v>2561.5</v>
      </c>
      <c r="G137" s="36">
        <f t="shared" si="4"/>
        <v>0</v>
      </c>
      <c r="H137" s="36">
        <f t="shared" si="5"/>
        <v>0</v>
      </c>
    </row>
    <row r="138" spans="1:8" ht="15.75">
      <c r="A138" s="29" t="s">
        <v>119</v>
      </c>
      <c r="B138" s="21" t="s">
        <v>120</v>
      </c>
      <c r="C138" s="32" t="s">
        <v>118</v>
      </c>
      <c r="D138" s="21">
        <v>200</v>
      </c>
      <c r="E138" s="23">
        <f>593.6+593.2-86.1-792.6-6.3</f>
        <v>301.80000000000024</v>
      </c>
      <c r="F138" s="23">
        <v>293.5</v>
      </c>
      <c r="G138" s="36">
        <f t="shared" si="4"/>
        <v>-8.300000000000239</v>
      </c>
      <c r="H138" s="36">
        <f t="shared" si="5"/>
        <v>-2.7501656726309562</v>
      </c>
    </row>
    <row r="139" spans="1:8" ht="15.75" customHeight="1">
      <c r="A139" s="74" t="s">
        <v>130</v>
      </c>
      <c r="B139" s="44" t="s">
        <v>131</v>
      </c>
      <c r="C139" s="44">
        <v>72100</v>
      </c>
      <c r="D139" s="44">
        <v>200</v>
      </c>
      <c r="E139" s="24">
        <v>1000</v>
      </c>
      <c r="F139" s="24">
        <v>0</v>
      </c>
      <c r="G139" s="36">
        <f t="shared" si="4"/>
        <v>-1000</v>
      </c>
      <c r="H139" s="36">
        <f t="shared" si="5"/>
        <v>-100</v>
      </c>
    </row>
    <row r="140" spans="1:8" ht="15.75" customHeight="1">
      <c r="A140" s="75"/>
      <c r="B140" s="21" t="s">
        <v>131</v>
      </c>
      <c r="C140" s="21" t="s">
        <v>132</v>
      </c>
      <c r="D140" s="21">
        <v>200</v>
      </c>
      <c r="E140" s="23">
        <f>150+30-30</f>
        <v>150</v>
      </c>
      <c r="F140" s="23">
        <v>22.5</v>
      </c>
      <c r="G140" s="36">
        <f t="shared" si="4"/>
        <v>-127.5</v>
      </c>
      <c r="H140" s="36">
        <f t="shared" si="5"/>
        <v>-85</v>
      </c>
    </row>
    <row r="141" spans="1:8" ht="15.75">
      <c r="A141" s="75"/>
      <c r="B141" s="21" t="s">
        <v>131</v>
      </c>
      <c r="C141" s="21" t="s">
        <v>133</v>
      </c>
      <c r="D141" s="21">
        <v>200</v>
      </c>
      <c r="E141" s="23">
        <v>75</v>
      </c>
      <c r="F141" s="23">
        <v>0</v>
      </c>
      <c r="G141" s="36">
        <f t="shared" si="4"/>
        <v>-75</v>
      </c>
      <c r="H141" s="36">
        <f t="shared" si="5"/>
        <v>-100</v>
      </c>
    </row>
    <row r="142" spans="1:8" ht="15.75">
      <c r="A142" s="76"/>
      <c r="B142" s="21" t="s">
        <v>131</v>
      </c>
      <c r="C142" s="21" t="s">
        <v>134</v>
      </c>
      <c r="D142" s="21">
        <v>200</v>
      </c>
      <c r="E142" s="23">
        <v>198.7</v>
      </c>
      <c r="F142" s="23">
        <v>0</v>
      </c>
      <c r="G142" s="36">
        <f t="shared" si="4"/>
        <v>-198.7</v>
      </c>
      <c r="H142" s="36">
        <f t="shared" si="5"/>
        <v>-100</v>
      </c>
    </row>
    <row r="143" spans="1:8" ht="47.25">
      <c r="A143" s="56" t="s">
        <v>135</v>
      </c>
      <c r="B143" s="21" t="s">
        <v>136</v>
      </c>
      <c r="C143" s="21">
        <v>99110</v>
      </c>
      <c r="D143" s="21">
        <v>200</v>
      </c>
      <c r="E143" s="24">
        <f>100-30</f>
        <v>70</v>
      </c>
      <c r="F143" s="24">
        <v>32.1</v>
      </c>
      <c r="G143" s="66">
        <f t="shared" si="4"/>
        <v>-37.9</v>
      </c>
      <c r="H143" s="66">
        <f t="shared" si="5"/>
        <v>-54.142857142857146</v>
      </c>
    </row>
    <row r="144" spans="1:8" ht="31.5">
      <c r="A144" s="56" t="s">
        <v>137</v>
      </c>
      <c r="B144" s="21" t="s">
        <v>138</v>
      </c>
      <c r="C144" s="21">
        <v>99110</v>
      </c>
      <c r="D144" s="21">
        <v>800</v>
      </c>
      <c r="E144" s="23">
        <f>700+792.6</f>
        <v>1492.6</v>
      </c>
      <c r="F144" s="23">
        <v>1492.6</v>
      </c>
      <c r="G144" s="66">
        <f t="shared" si="4"/>
        <v>0</v>
      </c>
      <c r="H144" s="66">
        <f t="shared" si="5"/>
        <v>0</v>
      </c>
    </row>
    <row r="145" spans="1:8" ht="15.75">
      <c r="A145" s="56" t="s">
        <v>139</v>
      </c>
      <c r="B145" s="21" t="s">
        <v>140</v>
      </c>
      <c r="C145" s="21">
        <v>99110</v>
      </c>
      <c r="D145" s="21">
        <v>200</v>
      </c>
      <c r="E145" s="23">
        <v>308.1</v>
      </c>
      <c r="F145" s="23">
        <v>308.1</v>
      </c>
      <c r="G145" s="66">
        <f t="shared" si="4"/>
        <v>0</v>
      </c>
      <c r="H145" s="66">
        <f t="shared" si="5"/>
        <v>0</v>
      </c>
    </row>
    <row r="146" spans="1:8" ht="31.5">
      <c r="A146" s="56" t="s">
        <v>141</v>
      </c>
      <c r="B146" s="21" t="s">
        <v>142</v>
      </c>
      <c r="C146" s="21">
        <v>99110</v>
      </c>
      <c r="D146" s="21">
        <v>200</v>
      </c>
      <c r="E146" s="23">
        <v>62.4</v>
      </c>
      <c r="F146" s="23">
        <v>19.2</v>
      </c>
      <c r="G146" s="66">
        <f t="shared" si="4"/>
        <v>-43.2</v>
      </c>
      <c r="H146" s="66">
        <f t="shared" si="5"/>
        <v>-69.23076923076923</v>
      </c>
    </row>
    <row r="147" spans="1:8" ht="15.75" customHeight="1">
      <c r="A147" s="45" t="s">
        <v>121</v>
      </c>
      <c r="B147" s="18">
        <v>99300</v>
      </c>
      <c r="C147" s="19" t="s">
        <v>34</v>
      </c>
      <c r="D147" s="46">
        <v>800</v>
      </c>
      <c r="E147" s="47">
        <f>239.9+2</f>
        <v>241.9</v>
      </c>
      <c r="F147" s="47">
        <v>241.9</v>
      </c>
      <c r="G147" s="20">
        <f t="shared" si="4"/>
        <v>0</v>
      </c>
      <c r="H147" s="20">
        <f t="shared" si="5"/>
        <v>0</v>
      </c>
    </row>
    <row r="148" spans="1:8" ht="63">
      <c r="A148" s="48" t="s">
        <v>49</v>
      </c>
      <c r="B148" s="46">
        <v>99300</v>
      </c>
      <c r="C148" s="49">
        <v>51200</v>
      </c>
      <c r="D148" s="18">
        <v>200</v>
      </c>
      <c r="E148" s="47">
        <f>5.5-1.2</f>
        <v>4.3</v>
      </c>
      <c r="F148" s="47">
        <v>0</v>
      </c>
      <c r="G148" s="20">
        <f t="shared" si="4"/>
        <v>-4.3</v>
      </c>
      <c r="H148" s="20">
        <f t="shared" si="5"/>
        <v>-100</v>
      </c>
    </row>
    <row r="149" spans="1:8" ht="31.5">
      <c r="A149" s="45" t="s">
        <v>122</v>
      </c>
      <c r="B149" s="18">
        <v>99300</v>
      </c>
      <c r="C149" s="50">
        <v>69100</v>
      </c>
      <c r="D149" s="46">
        <v>200</v>
      </c>
      <c r="E149" s="47">
        <v>100</v>
      </c>
      <c r="F149" s="47">
        <v>99.9</v>
      </c>
      <c r="G149" s="20">
        <f t="shared" si="4"/>
        <v>-0.09999999999999432</v>
      </c>
      <c r="H149" s="20">
        <f t="shared" si="5"/>
        <v>-0.09999999999999432</v>
      </c>
    </row>
    <row r="150" spans="1:8" ht="15.75" customHeight="1">
      <c r="A150" s="48" t="s">
        <v>52</v>
      </c>
      <c r="B150" s="18">
        <v>99300</v>
      </c>
      <c r="C150" s="19" t="s">
        <v>53</v>
      </c>
      <c r="D150" s="18">
        <v>200</v>
      </c>
      <c r="E150" s="20">
        <v>44.6</v>
      </c>
      <c r="F150" s="20">
        <v>0</v>
      </c>
      <c r="G150" s="20">
        <f t="shared" si="4"/>
        <v>-44.6</v>
      </c>
      <c r="H150" s="20">
        <f t="shared" si="5"/>
        <v>-100</v>
      </c>
    </row>
    <row r="151" spans="1:8" ht="94.5">
      <c r="A151" s="17" t="s">
        <v>54</v>
      </c>
      <c r="B151" s="18">
        <v>99300</v>
      </c>
      <c r="C151" s="19" t="s">
        <v>55</v>
      </c>
      <c r="D151" s="18">
        <v>200</v>
      </c>
      <c r="E151" s="20">
        <v>0.7</v>
      </c>
      <c r="F151" s="20">
        <v>0</v>
      </c>
      <c r="G151" s="20">
        <f t="shared" si="4"/>
        <v>-0.7</v>
      </c>
      <c r="H151" s="20">
        <f t="shared" si="5"/>
        <v>-100</v>
      </c>
    </row>
    <row r="152" spans="1:8" ht="15.75">
      <c r="A152" s="51" t="s">
        <v>123</v>
      </c>
      <c r="B152" s="18">
        <v>99300</v>
      </c>
      <c r="C152" s="50">
        <v>99110</v>
      </c>
      <c r="D152" s="18">
        <v>800</v>
      </c>
      <c r="E152" s="20">
        <v>100</v>
      </c>
      <c r="F152" s="20">
        <v>100</v>
      </c>
      <c r="G152" s="20">
        <f t="shared" si="4"/>
        <v>0</v>
      </c>
      <c r="H152" s="20">
        <f t="shared" si="5"/>
        <v>0</v>
      </c>
    </row>
    <row r="153" spans="1:8" ht="31.5">
      <c r="A153" s="51" t="s">
        <v>124</v>
      </c>
      <c r="B153" s="18">
        <v>99300</v>
      </c>
      <c r="C153" s="50">
        <v>99310</v>
      </c>
      <c r="D153" s="18">
        <v>800</v>
      </c>
      <c r="E153" s="20">
        <v>520</v>
      </c>
      <c r="F153" s="20">
        <v>100</v>
      </c>
      <c r="G153" s="20">
        <f t="shared" si="4"/>
        <v>-420</v>
      </c>
      <c r="H153" s="20">
        <f t="shared" si="5"/>
        <v>-80.76923076923077</v>
      </c>
    </row>
    <row r="154" spans="1:8" ht="15.75">
      <c r="A154" s="67" t="s">
        <v>12</v>
      </c>
      <c r="B154" s="18">
        <v>99300</v>
      </c>
      <c r="C154" s="46">
        <v>99230</v>
      </c>
      <c r="D154" s="46">
        <v>400</v>
      </c>
      <c r="E154" s="20">
        <f>5471+8627.2+3867</f>
        <v>17965.2</v>
      </c>
      <c r="F154" s="20">
        <v>4310.8</v>
      </c>
      <c r="G154" s="20">
        <f>F154-E154</f>
        <v>-13654.400000000001</v>
      </c>
      <c r="H154" s="20">
        <f>F154/E154*100-100</f>
        <v>-76.00472023690246</v>
      </c>
    </row>
    <row r="155" spans="1:8" ht="15.75">
      <c r="A155" s="68"/>
      <c r="B155" s="18">
        <v>99300</v>
      </c>
      <c r="C155" s="19" t="s">
        <v>143</v>
      </c>
      <c r="D155" s="46">
        <v>400</v>
      </c>
      <c r="E155" s="20">
        <v>6767</v>
      </c>
      <c r="F155" s="20">
        <v>199.1</v>
      </c>
      <c r="G155" s="20">
        <f>F155-E155</f>
        <v>-6567.9</v>
      </c>
      <c r="H155" s="20">
        <f>F155/E155*100-100</f>
        <v>-97.05778040490617</v>
      </c>
    </row>
    <row r="156" spans="1:8" ht="31.5">
      <c r="A156" s="17" t="s">
        <v>27</v>
      </c>
      <c r="B156" s="18">
        <v>99400</v>
      </c>
      <c r="C156" s="19" t="s">
        <v>50</v>
      </c>
      <c r="D156" s="18">
        <v>800</v>
      </c>
      <c r="E156" s="20">
        <f>100+42-66.6+30</f>
        <v>105.4</v>
      </c>
      <c r="F156" s="20">
        <v>55</v>
      </c>
      <c r="G156" s="20">
        <f>F156-E156</f>
        <v>-50.400000000000006</v>
      </c>
      <c r="H156" s="20">
        <f>F156/E156*100-100</f>
        <v>-47.81783681214421</v>
      </c>
    </row>
    <row r="157" spans="1:8" ht="15.75">
      <c r="A157" s="17" t="s">
        <v>17</v>
      </c>
      <c r="B157" s="18">
        <v>95000</v>
      </c>
      <c r="C157" s="19" t="s">
        <v>51</v>
      </c>
      <c r="D157" s="18">
        <v>700</v>
      </c>
      <c r="E157" s="20">
        <v>7</v>
      </c>
      <c r="F157" s="20">
        <v>0</v>
      </c>
      <c r="G157" s="20">
        <f>F157-E157</f>
        <v>-7</v>
      </c>
      <c r="H157" s="20">
        <f>F157/E157*100-100</f>
        <v>-100</v>
      </c>
    </row>
  </sheetData>
  <sheetProtection/>
  <mergeCells count="43">
    <mergeCell ref="C1:D1"/>
    <mergeCell ref="E6:E7"/>
    <mergeCell ref="E1:H1"/>
    <mergeCell ref="E2:H2"/>
    <mergeCell ref="G6:H6"/>
    <mergeCell ref="A4:H4"/>
    <mergeCell ref="E5:F5"/>
    <mergeCell ref="G5:H5"/>
    <mergeCell ref="F6:F7"/>
    <mergeCell ref="A6:A7"/>
    <mergeCell ref="A26:A28"/>
    <mergeCell ref="A29:A30"/>
    <mergeCell ref="A96:A97"/>
    <mergeCell ref="A31:A33"/>
    <mergeCell ref="B6:C6"/>
    <mergeCell ref="D6:D7"/>
    <mergeCell ref="A10:A13"/>
    <mergeCell ref="A14:A16"/>
    <mergeCell ref="A21:A22"/>
    <mergeCell ref="A24:A25"/>
    <mergeCell ref="A81:A83"/>
    <mergeCell ref="A117:A118"/>
    <mergeCell ref="A84:A85"/>
    <mergeCell ref="A39:A42"/>
    <mergeCell ref="A43:A44"/>
    <mergeCell ref="A47:A48"/>
    <mergeCell ref="A56:A57"/>
    <mergeCell ref="A125:A126"/>
    <mergeCell ref="A134:A135"/>
    <mergeCell ref="A139:A142"/>
    <mergeCell ref="A103:A105"/>
    <mergeCell ref="A112:A115"/>
    <mergeCell ref="A120:A121"/>
    <mergeCell ref="A154:A155"/>
    <mergeCell ref="A60:A62"/>
    <mergeCell ref="A63:A64"/>
    <mergeCell ref="A68:A69"/>
    <mergeCell ref="A75:A77"/>
    <mergeCell ref="A87:A88"/>
    <mergeCell ref="A89:A92"/>
    <mergeCell ref="A99:A100"/>
    <mergeCell ref="A101:A102"/>
    <mergeCell ref="A132:A133"/>
  </mergeCells>
  <printOptions/>
  <pageMargins left="0.6299212598425197" right="0.35433070866141736" top="0.5118110236220472" bottom="0.4330708661417323" header="0.31496062992125984" footer="0.31496062992125984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2018-04-27T05:50:24Z</cp:lastPrinted>
  <dcterms:created xsi:type="dcterms:W3CDTF">2014-11-10T14:48:23Z</dcterms:created>
  <dcterms:modified xsi:type="dcterms:W3CDTF">2018-10-30T11:44:08Z</dcterms:modified>
  <cp:category/>
  <cp:version/>
  <cp:contentType/>
  <cp:contentStatus/>
</cp:coreProperties>
</file>